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luca\Documents\Water Board\Revenue and Expenses\"/>
    </mc:Choice>
  </mc:AlternateContent>
  <xr:revisionPtr revIDLastSave="0" documentId="13_ncr:1_{A7E0C90A-E3DC-40B5-AE0D-6BDFC97BE80E}" xr6:coauthVersionLast="47" xr6:coauthVersionMax="47" xr10:uidLastSave="{00000000-0000-0000-0000-000000000000}"/>
  <bookViews>
    <workbookView xWindow="1620" yWindow="210" windowWidth="33420" windowHeight="20670" tabRatio="889" xr2:uid="{00000000-000D-0000-FFFF-FFFF00000000}"/>
  </bookViews>
  <sheets>
    <sheet name="PPWSD 2024 Revenue &amp; Expenses" sheetId="18" r:id="rId1"/>
    <sheet name="Audit View" sheetId="1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4" i="19" l="1"/>
  <c r="B47" i="19"/>
  <c r="B14" i="19"/>
  <c r="B89" i="19"/>
  <c r="B59" i="19"/>
  <c r="B71" i="19" s="1"/>
  <c r="C67" i="19"/>
  <c r="C137" i="19" s="1"/>
  <c r="B99" i="19"/>
  <c r="K177" i="19"/>
  <c r="J177" i="19"/>
  <c r="M176" i="19"/>
  <c r="L176" i="19"/>
  <c r="K176" i="19"/>
  <c r="J176" i="19"/>
  <c r="I176" i="19"/>
  <c r="H176" i="19"/>
  <c r="G176" i="19"/>
  <c r="F176" i="19"/>
  <c r="E176" i="19"/>
  <c r="D176" i="19"/>
  <c r="C176" i="19"/>
  <c r="B176" i="19"/>
  <c r="M175" i="19"/>
  <c r="L175" i="19"/>
  <c r="K175" i="19"/>
  <c r="J175" i="19"/>
  <c r="I175" i="19"/>
  <c r="H175" i="19"/>
  <c r="G175" i="19"/>
  <c r="F175" i="19"/>
  <c r="E175" i="19"/>
  <c r="D175" i="19"/>
  <c r="C175" i="19"/>
  <c r="B175" i="19"/>
  <c r="K170" i="19"/>
  <c r="J170" i="19"/>
  <c r="I170" i="19"/>
  <c r="H170" i="19"/>
  <c r="G170" i="19"/>
  <c r="F170" i="19"/>
  <c r="E170" i="19"/>
  <c r="D170" i="19"/>
  <c r="K169" i="19"/>
  <c r="J169" i="19"/>
  <c r="I169" i="19"/>
  <c r="H169" i="19"/>
  <c r="F169" i="19"/>
  <c r="D169" i="19"/>
  <c r="M168" i="19"/>
  <c r="M171" i="19" s="1"/>
  <c r="L168" i="19"/>
  <c r="L171" i="19" s="1"/>
  <c r="K168" i="19"/>
  <c r="J168" i="19"/>
  <c r="I168" i="19"/>
  <c r="H168" i="19"/>
  <c r="G168" i="19"/>
  <c r="F168" i="19"/>
  <c r="E168" i="19"/>
  <c r="D168" i="19"/>
  <c r="C168" i="19"/>
  <c r="C171" i="19" s="1"/>
  <c r="B168" i="19"/>
  <c r="B171" i="19" s="1"/>
  <c r="M166" i="19"/>
  <c r="L166" i="19"/>
  <c r="K166" i="19"/>
  <c r="J166" i="19"/>
  <c r="I166" i="19"/>
  <c r="H166" i="19"/>
  <c r="G166" i="19"/>
  <c r="F166" i="19"/>
  <c r="E166" i="19"/>
  <c r="D166" i="19"/>
  <c r="C166" i="19"/>
  <c r="B166" i="19"/>
  <c r="N165" i="19"/>
  <c r="M160" i="19"/>
  <c r="M159" i="19"/>
  <c r="L159" i="19"/>
  <c r="K159" i="19"/>
  <c r="J159" i="19"/>
  <c r="I159" i="19"/>
  <c r="H159" i="19"/>
  <c r="G159" i="19"/>
  <c r="F159" i="19"/>
  <c r="E159" i="19"/>
  <c r="D159" i="19"/>
  <c r="C159" i="19"/>
  <c r="B159" i="19"/>
  <c r="B152" i="19"/>
  <c r="J137" i="19"/>
  <c r="I137" i="19"/>
  <c r="H137" i="19"/>
  <c r="G137" i="19"/>
  <c r="L160" i="19"/>
  <c r="F160" i="19"/>
  <c r="E160" i="19"/>
  <c r="D160" i="19"/>
  <c r="K141" i="18"/>
  <c r="J141" i="18"/>
  <c r="M140" i="18"/>
  <c r="L140" i="18"/>
  <c r="K140" i="18"/>
  <c r="J140" i="18"/>
  <c r="I140" i="18"/>
  <c r="H140" i="18"/>
  <c r="G140" i="18"/>
  <c r="F140" i="18"/>
  <c r="E140" i="18"/>
  <c r="D140" i="18"/>
  <c r="C140" i="18"/>
  <c r="B140" i="18"/>
  <c r="M139" i="18"/>
  <c r="L139" i="18"/>
  <c r="K139" i="18"/>
  <c r="J139" i="18"/>
  <c r="I139" i="18"/>
  <c r="H139" i="18"/>
  <c r="G139" i="18"/>
  <c r="F139" i="18"/>
  <c r="E139" i="18"/>
  <c r="D139" i="18"/>
  <c r="C139" i="18"/>
  <c r="B139" i="18"/>
  <c r="K134" i="18"/>
  <c r="J134" i="18"/>
  <c r="I134" i="18"/>
  <c r="H134" i="18"/>
  <c r="G134" i="18"/>
  <c r="F134" i="18"/>
  <c r="E134" i="18"/>
  <c r="D134" i="18"/>
  <c r="K133" i="18"/>
  <c r="J133" i="18"/>
  <c r="I133" i="18"/>
  <c r="H133" i="18"/>
  <c r="F133" i="18"/>
  <c r="D133" i="18"/>
  <c r="M132" i="18"/>
  <c r="M135" i="18" s="1"/>
  <c r="L132" i="18"/>
  <c r="L135" i="18" s="1"/>
  <c r="K132" i="18"/>
  <c r="J132" i="18"/>
  <c r="I132" i="18"/>
  <c r="H132" i="18"/>
  <c r="G132" i="18"/>
  <c r="F132" i="18"/>
  <c r="E132" i="18"/>
  <c r="D132" i="18"/>
  <c r="C132" i="18"/>
  <c r="C135" i="18" s="1"/>
  <c r="B132" i="18"/>
  <c r="B135" i="18" s="1"/>
  <c r="M130" i="18"/>
  <c r="L130" i="18"/>
  <c r="K130" i="18"/>
  <c r="J130" i="18"/>
  <c r="I130" i="18"/>
  <c r="H130" i="18"/>
  <c r="G130" i="18"/>
  <c r="F130" i="18"/>
  <c r="E130" i="18"/>
  <c r="D130" i="18"/>
  <c r="C130" i="18"/>
  <c r="B130" i="18"/>
  <c r="N129" i="18"/>
  <c r="M124" i="18"/>
  <c r="M123" i="18"/>
  <c r="L123" i="18"/>
  <c r="K123" i="18"/>
  <c r="J123" i="18"/>
  <c r="I123" i="18"/>
  <c r="H123" i="18"/>
  <c r="G123" i="18"/>
  <c r="F123" i="18"/>
  <c r="E123" i="18"/>
  <c r="D123" i="18"/>
  <c r="C123" i="18"/>
  <c r="B123" i="18"/>
  <c r="J101" i="18"/>
  <c r="I101" i="18"/>
  <c r="H101" i="18"/>
  <c r="G101" i="18"/>
  <c r="L10" i="18"/>
  <c r="L15" i="18" s="1"/>
  <c r="K10" i="18"/>
  <c r="J10" i="18"/>
  <c r="J15" i="18" s="1"/>
  <c r="I10" i="18"/>
  <c r="I15" i="18" s="1"/>
  <c r="H10" i="18"/>
  <c r="G10" i="18"/>
  <c r="G124" i="18" s="1"/>
  <c r="F10" i="18"/>
  <c r="F124" i="18" s="1"/>
  <c r="E10" i="18"/>
  <c r="E124" i="18" s="1"/>
  <c r="D10" i="18"/>
  <c r="C10" i="18"/>
  <c r="C124" i="18" s="1"/>
  <c r="B10" i="18"/>
  <c r="G171" i="19" l="1"/>
  <c r="H171" i="19"/>
  <c r="E171" i="19"/>
  <c r="B49" i="19"/>
  <c r="B73" i="19" s="1"/>
  <c r="I171" i="19"/>
  <c r="F171" i="19"/>
  <c r="D171" i="19"/>
  <c r="K171" i="19"/>
  <c r="N166" i="19"/>
  <c r="J171" i="19"/>
  <c r="G160" i="19"/>
  <c r="N168" i="19"/>
  <c r="N169" i="19"/>
  <c r="H160" i="19"/>
  <c r="N170" i="19"/>
  <c r="I160" i="19"/>
  <c r="B160" i="19"/>
  <c r="J160" i="19"/>
  <c r="C160" i="19"/>
  <c r="K160" i="19"/>
  <c r="I124" i="18"/>
  <c r="H15" i="18"/>
  <c r="N134" i="18"/>
  <c r="D135" i="18"/>
  <c r="E135" i="18"/>
  <c r="H124" i="18"/>
  <c r="J124" i="18"/>
  <c r="N132" i="18"/>
  <c r="H135" i="18"/>
  <c r="K124" i="18"/>
  <c r="J17" i="18"/>
  <c r="L124" i="18"/>
  <c r="K135" i="18"/>
  <c r="K15" i="18"/>
  <c r="K17" i="18" s="1"/>
  <c r="G135" i="18"/>
  <c r="N130" i="18"/>
  <c r="N133" i="18"/>
  <c r="C15" i="18"/>
  <c r="I135" i="18"/>
  <c r="J135" i="18"/>
  <c r="B116" i="18"/>
  <c r="B45" i="18"/>
  <c r="C45" i="18"/>
  <c r="B124" i="18"/>
  <c r="B15" i="18"/>
  <c r="C101" i="18"/>
  <c r="M17" i="18"/>
  <c r="D15" i="18"/>
  <c r="D124" i="18"/>
  <c r="E15" i="18"/>
  <c r="F15" i="18"/>
  <c r="G15" i="18"/>
  <c r="F135" i="18"/>
  <c r="B91" i="19" l="1"/>
  <c r="N171" i="19"/>
  <c r="I17" i="18"/>
  <c r="H17" i="18"/>
  <c r="L17" i="18"/>
  <c r="N135" i="18"/>
  <c r="B101" i="18"/>
  <c r="B118" i="18" s="1"/>
  <c r="G17" i="18"/>
  <c r="F17" i="18"/>
  <c r="E17" i="18"/>
  <c r="D17" i="18"/>
  <c r="C17" i="18"/>
  <c r="B102" i="19" l="1"/>
  <c r="B137" i="19" s="1"/>
  <c r="B154" i="19" s="1"/>
  <c r="C107" i="18"/>
  <c r="C108" i="18"/>
  <c r="C109" i="18"/>
  <c r="C110" i="18"/>
  <c r="C111" i="18"/>
  <c r="C112" i="18"/>
  <c r="C113" i="18"/>
  <c r="C114" i="18"/>
  <c r="C115" i="18"/>
  <c r="C106" i="18"/>
  <c r="C144" i="19" l="1"/>
  <c r="C150" i="19"/>
  <c r="C147" i="19"/>
  <c r="C149" i="19"/>
  <c r="C145" i="19"/>
  <c r="C151" i="19"/>
  <c r="C146" i="19"/>
  <c r="C148" i="19"/>
  <c r="C143" i="19"/>
  <c r="C142" i="19"/>
</calcChain>
</file>

<file path=xl/sharedStrings.xml><?xml version="1.0" encoding="utf-8"?>
<sst xmlns="http://schemas.openxmlformats.org/spreadsheetml/2006/main" count="287" uniqueCount="161">
  <si>
    <t>Cash Accounts</t>
  </si>
  <si>
    <t>January  Ending Balance</t>
  </si>
  <si>
    <t>February  Ending Balance</t>
  </si>
  <si>
    <t>March    Ending Balance</t>
  </si>
  <si>
    <t>April       Ending Balance</t>
  </si>
  <si>
    <t>May        Ending Balance</t>
  </si>
  <si>
    <t>June       Ending Balance</t>
  </si>
  <si>
    <t>July        Ending Balance</t>
  </si>
  <si>
    <t>August  Ending Balance</t>
  </si>
  <si>
    <t>September  Ending Balance</t>
  </si>
  <si>
    <t>October  Ending Balance</t>
  </si>
  <si>
    <t>November  Ending Balance</t>
  </si>
  <si>
    <t>December  Ending Balance</t>
  </si>
  <si>
    <t>1st Bank - Checking Account</t>
  </si>
  <si>
    <t>1st Bank - Checking AutoTeller</t>
  </si>
  <si>
    <t>COLOTRUST - Savings-Gen Fund</t>
  </si>
  <si>
    <t>CommBank-PublicFunds MoneyMkt</t>
  </si>
  <si>
    <t>CommBank-PublicFunds Savings</t>
  </si>
  <si>
    <t>CSAFE - Investment Pool</t>
  </si>
  <si>
    <t>Wells Fargo Checking-Gen Fund</t>
  </si>
  <si>
    <t>Total Cash</t>
  </si>
  <si>
    <t>Debt Accounts</t>
  </si>
  <si>
    <t>BB&amp;T Lease Purchase</t>
  </si>
  <si>
    <t>Net Cash</t>
  </si>
  <si>
    <t>Monthly Cash Accounts Change</t>
  </si>
  <si>
    <t>Revenue Categories</t>
  </si>
  <si>
    <t>Capital Improvement Fee</t>
  </si>
  <si>
    <t>Construction Water Sales</t>
  </si>
  <si>
    <t>Feasibility Study Deposits</t>
  </si>
  <si>
    <t>Interest Earned</t>
  </si>
  <si>
    <t>Leased Water Sales</t>
  </si>
  <si>
    <t>Other Income</t>
  </si>
  <si>
    <t>Permit Fees</t>
  </si>
  <si>
    <t>Proceeds From Sale Cap Asset</t>
  </si>
  <si>
    <t>Property Tax</t>
  </si>
  <si>
    <t>Service Calls</t>
  </si>
  <si>
    <t>Services Provided Reimburse</t>
  </si>
  <si>
    <t>Sewer Development/Core Fee</t>
  </si>
  <si>
    <t>Sewer Lift Station Fee</t>
  </si>
  <si>
    <t>Sewer Service Fees</t>
  </si>
  <si>
    <t>Sewer Stub Out Fee</t>
  </si>
  <si>
    <t>Sewer Tap Fee</t>
  </si>
  <si>
    <t>Specific Ownership Tax</t>
  </si>
  <si>
    <t>Water Development/Core Fee</t>
  </si>
  <si>
    <t>Water Meter Sales</t>
  </si>
  <si>
    <t>Water Service Fees</t>
  </si>
  <si>
    <t>Water Stub Out Fee</t>
  </si>
  <si>
    <t>Water Tap Fee</t>
  </si>
  <si>
    <t>Total Revenue</t>
  </si>
  <si>
    <t>Expense Categories</t>
  </si>
  <si>
    <t>Audit</t>
  </si>
  <si>
    <t>Bank Charges</t>
  </si>
  <si>
    <t>Capital Improvements Plan</t>
  </si>
  <si>
    <t>Chemical Expense - Sewer</t>
  </si>
  <si>
    <t>Chemical Expense - Water</t>
  </si>
  <si>
    <t>Clearing Account</t>
  </si>
  <si>
    <t>Community Relations</t>
  </si>
  <si>
    <t>Computer Software &amp; Support</t>
  </si>
  <si>
    <t>Consultants</t>
  </si>
  <si>
    <t>Contract Labor</t>
  </si>
  <si>
    <t>Depreciation Expense</t>
  </si>
  <si>
    <t>Depreciation-Gen &amp; Admin</t>
  </si>
  <si>
    <t>Director's Fees</t>
  </si>
  <si>
    <t>Dues and Subscriptions</t>
  </si>
  <si>
    <t>Generator &amp; Cathodic Maint.</t>
  </si>
  <si>
    <t>Hydrant Replacement</t>
  </si>
  <si>
    <t>Insurance</t>
  </si>
  <si>
    <t>Lease Purchase Interest Paymnt</t>
  </si>
  <si>
    <t>Legal Fees</t>
  </si>
  <si>
    <t>Miscellaneous Expense</t>
  </si>
  <si>
    <t>Office Supplies and Postage</t>
  </si>
  <si>
    <t>Operations Additional Services</t>
  </si>
  <si>
    <t>Operations Contractor</t>
  </si>
  <si>
    <t>Parts &amp; Minor Equip Exp-Water</t>
  </si>
  <si>
    <t>Parts &amp; Minor Equipment-Sewer</t>
  </si>
  <si>
    <t>Payroll - Administrative</t>
  </si>
  <si>
    <t>Payroll - Operations</t>
  </si>
  <si>
    <t>Payroll Tax &amp; Benefits - Ops.</t>
  </si>
  <si>
    <t>Payroll Tax &amp; Benefits-Admin.</t>
  </si>
  <si>
    <t>Permits</t>
  </si>
  <si>
    <t>Perry Park Water News Letter</t>
  </si>
  <si>
    <t>PPWSD Website Maint&amp;Security</t>
  </si>
  <si>
    <t>Professional Communications</t>
  </si>
  <si>
    <t>Repair &amp; Maint - Infras. Sewer</t>
  </si>
  <si>
    <t>Repair &amp; Maint.-Infras.-Water</t>
  </si>
  <si>
    <t>Repair &amp; Maintenance, Misc.</t>
  </si>
  <si>
    <t>Risk Mitigation</t>
  </si>
  <si>
    <t>Rules and Regulations</t>
  </si>
  <si>
    <t>Services Provided</t>
  </si>
  <si>
    <t>Sewer Cleaning</t>
  </si>
  <si>
    <t>Sludge Disposal</t>
  </si>
  <si>
    <t>Testing - Sewer</t>
  </si>
  <si>
    <t>Testing - Water</t>
  </si>
  <si>
    <t>Treasurers' Fees-Douglas Cnty</t>
  </si>
  <si>
    <t>Unscheduled/Emergency Repairs</t>
  </si>
  <si>
    <t>Utilities - Office</t>
  </si>
  <si>
    <t>Utilities - Sewer</t>
  </si>
  <si>
    <t>Utilities - Water</t>
  </si>
  <si>
    <t>Utility Locates</t>
  </si>
  <si>
    <t>Vehicle Expense</t>
  </si>
  <si>
    <t>Water Meter, PRV, Yokes, Rem.</t>
  </si>
  <si>
    <t>Total Expenses</t>
  </si>
  <si>
    <t>Capital Goods Catagories</t>
  </si>
  <si>
    <t>Dakota Well Replacement</t>
  </si>
  <si>
    <t>GIS - 2018 - 2019 - 2020</t>
  </si>
  <si>
    <t>Glen Grove WTP Upgrades</t>
  </si>
  <si>
    <t>Gove Ditch Weir</t>
  </si>
  <si>
    <t>Sageport WTP - Radium Removal</t>
  </si>
  <si>
    <t>Sageport WWTP Improvements</t>
  </si>
  <si>
    <t>Water Meter - Smart Meter</t>
  </si>
  <si>
    <t>Water System SCADA/Automation</t>
  </si>
  <si>
    <t>Waucondah WWTP Improvements</t>
  </si>
  <si>
    <t>Well Capacity-Poncho Well</t>
  </si>
  <si>
    <t>Total Expenditures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</si>
  <si>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</si>
  <si>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</si>
  <si>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</si>
  <si>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</si>
  <si>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</si>
  <si>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</si>
  <si>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</si>
  <si>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</si>
  <si>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</si>
  <si>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</si>
  <si>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</si>
  <si>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</si>
  <si>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Number of Water Taps</t>
  </si>
  <si>
    <t>YTD (MG)</t>
  </si>
  <si>
    <t>Water Pumped (MG)</t>
  </si>
  <si>
    <t>Wastewater Treated (MG)</t>
  </si>
  <si>
    <t>Water Metered (MG)</t>
  </si>
  <si>
    <t>Hydrant Metered (MG)</t>
  </si>
  <si>
    <t>County Water (MG)</t>
  </si>
  <si>
    <t>Total Water Sold</t>
  </si>
  <si>
    <t>Estimated Water Loss Main Breaks (MG)</t>
  </si>
  <si>
    <t>Water Pumped last 12 Months (MG)</t>
  </si>
  <si>
    <t>UFW Twelve Month Avg %</t>
  </si>
  <si>
    <t>UFW Twelve Month Avg (MG)</t>
  </si>
  <si>
    <t>Total    Revenue</t>
  </si>
  <si>
    <t>Monthly Average</t>
  </si>
  <si>
    <t>Water Sold last 12 Months (MG)</t>
  </si>
  <si>
    <t>Est. Water Usage for Plant Maintance (MG)</t>
  </si>
  <si>
    <t>Water Accounted For</t>
  </si>
  <si>
    <t xml:space="preserve"> </t>
  </si>
  <si>
    <t>Total Spend</t>
  </si>
  <si>
    <t xml:space="preserve"> %  Total  Spend</t>
  </si>
  <si>
    <t>Year    Expenditures</t>
  </si>
  <si>
    <t>Debt per District Member</t>
  </si>
  <si>
    <t>Cash per District Member</t>
  </si>
  <si>
    <t>Operating Revenues</t>
  </si>
  <si>
    <t>Non-Operting Revenues</t>
  </si>
  <si>
    <t>Total Non-Op Revenues</t>
  </si>
  <si>
    <t>Capital Contributions</t>
  </si>
  <si>
    <t>Operating Expenses</t>
  </si>
  <si>
    <t>Non-operating Expenses</t>
  </si>
  <si>
    <t>General &amp; Admin Expenses</t>
  </si>
  <si>
    <t>Gain / Loss before Cap Contributions</t>
  </si>
  <si>
    <t>Gain / Loss from Operations</t>
  </si>
  <si>
    <t>Operating Gain / Loss</t>
  </si>
  <si>
    <t>Total Capital Contributions</t>
  </si>
  <si>
    <t>Change in Net 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</si>
</sst>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"/>
    <numFmt numFmtId="165" formatCode="0.0%"/>
    <numFmt numFmtId="166" formatCode="&quot;$&quot;#,##0.00"/>
    <numFmt numFmtId="167" formatCode="[$$-409]#,##0_);[$$-409]\(#,##0\)"/>
    <numFmt numFmtId="168" formatCode="0.000"/>
    <numFmt numFmtId="169" formatCode="0.0000"/>
  </numFmts>
  <fonts count="15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10"/>
      <color indexed="8"/>
      <name val="Arial"/>
      <family val="2"/>
    </font>
    <font>
      <b/>
      <sz val="48"/>
      <color theme="4"/>
      <name val="Times New Roman"/>
      <family val="1"/>
    </font>
    <font>
      <sz val="10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2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43" fontId="14" fillId="0" borderId="0" applyFont="0" applyFill="0" applyBorder="0" applyAlignment="0" applyProtection="0"/>
  </cellStyleXfs>
  <cellXfs count="163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5" fillId="0" borderId="0" xfId="0" applyFont="1"/>
    <xf numFmtId="0" fontId="0" fillId="0" borderId="2" xfId="0" applyBorder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6" fontId="0" fillId="0" borderId="0" xfId="0" applyNumberFormat="1" applyAlignment="1">
      <alignment horizontal="right"/>
    </xf>
    <xf numFmtId="0" fontId="5" fillId="0" borderId="0" xfId="0" applyFont="1" applyAlignment="1">
      <alignment horizontal="center"/>
    </xf>
    <xf numFmtId="6" fontId="6" fillId="0" borderId="0" xfId="0" applyNumberFormat="1" applyFont="1" applyAlignment="1">
      <alignment horizontal="right"/>
    </xf>
    <xf numFmtId="6" fontId="7" fillId="0" borderId="0" xfId="0" applyNumberFormat="1" applyFont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49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wrapText="1"/>
    </xf>
    <xf numFmtId="164" fontId="9" fillId="0" borderId="0" xfId="0" applyNumberFormat="1" applyFont="1" applyAlignment="1">
      <alignment horizontal="right" wrapText="1"/>
    </xf>
    <xf numFmtId="164" fontId="10" fillId="0" borderId="0" xfId="0" applyNumberFormat="1" applyFont="1" applyAlignment="1">
      <alignment horizontal="right" wrapText="1"/>
    </xf>
    <xf numFmtId="164" fontId="10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 vertical="top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vertical="top"/>
    </xf>
    <xf numFmtId="0" fontId="9" fillId="0" borderId="1" xfId="0" applyFont="1" applyBorder="1" applyAlignment="1">
      <alignment horizontal="left" wrapText="1"/>
    </xf>
    <xf numFmtId="164" fontId="9" fillId="0" borderId="2" xfId="0" applyNumberFormat="1" applyFont="1" applyBorder="1" applyAlignment="1">
      <alignment horizontal="right" wrapText="1"/>
    </xf>
    <xf numFmtId="164" fontId="10" fillId="0" borderId="2" xfId="0" applyNumberFormat="1" applyFont="1" applyBorder="1" applyAlignment="1">
      <alignment horizontal="right" wrapText="1"/>
    </xf>
    <xf numFmtId="164" fontId="10" fillId="0" borderId="2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2" xfId="0" applyFont="1" applyBorder="1" applyAlignment="1">
      <alignment horizontal="left" vertical="top"/>
    </xf>
    <xf numFmtId="6" fontId="10" fillId="0" borderId="0" xfId="0" applyNumberFormat="1" applyFont="1" applyAlignment="1">
      <alignment horizontal="right"/>
    </xf>
    <xf numFmtId="0" fontId="8" fillId="0" borderId="2" xfId="0" applyFont="1" applyBorder="1" applyAlignment="1">
      <alignment horizontal="center"/>
    </xf>
    <xf numFmtId="6" fontId="10" fillId="0" borderId="0" xfId="0" applyNumberFormat="1" applyFont="1" applyAlignment="1">
      <alignment horizontal="right" wrapText="1"/>
    </xf>
    <xf numFmtId="165" fontId="10" fillId="0" borderId="0" xfId="0" applyNumberFormat="1" applyFont="1" applyAlignment="1">
      <alignment horizontal="right"/>
    </xf>
    <xf numFmtId="0" fontId="9" fillId="0" borderId="2" xfId="0" applyFont="1" applyBorder="1" applyAlignment="1">
      <alignment horizontal="left" wrapText="1"/>
    </xf>
    <xf numFmtId="6" fontId="10" fillId="0" borderId="2" xfId="0" applyNumberFormat="1" applyFont="1" applyBorder="1" applyAlignment="1">
      <alignment horizontal="right"/>
    </xf>
    <xf numFmtId="165" fontId="8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left" vertical="top"/>
    </xf>
    <xf numFmtId="6" fontId="10" fillId="0" borderId="0" xfId="0" applyNumberFormat="1" applyFont="1" applyAlignment="1">
      <alignment horizontal="left" vertical="top"/>
    </xf>
    <xf numFmtId="6" fontId="8" fillId="0" borderId="3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6" fontId="9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right" vertical="top"/>
    </xf>
    <xf numFmtId="0" fontId="8" fillId="0" borderId="0" xfId="0" applyFont="1" applyAlignment="1">
      <alignment horizontal="center" wrapText="1"/>
    </xf>
    <xf numFmtId="6" fontId="10" fillId="0" borderId="0" xfId="0" applyNumberFormat="1" applyFont="1"/>
    <xf numFmtId="164" fontId="10" fillId="0" borderId="0" xfId="0" applyNumberFormat="1" applyFont="1"/>
    <xf numFmtId="0" fontId="10" fillId="0" borderId="0" xfId="0" applyFont="1"/>
    <xf numFmtId="6" fontId="8" fillId="0" borderId="0" xfId="0" applyNumberFormat="1" applyFont="1" applyAlignment="1">
      <alignment horizontal="center" wrapText="1"/>
    </xf>
    <xf numFmtId="6" fontId="10" fillId="0" borderId="0" xfId="0" applyNumberFormat="1" applyFont="1" applyAlignment="1">
      <alignment horizontal="left"/>
    </xf>
    <xf numFmtId="0" fontId="10" fillId="0" borderId="2" xfId="0" applyFont="1" applyBorder="1" applyAlignment="1">
      <alignment horizontal="left"/>
    </xf>
    <xf numFmtId="8" fontId="10" fillId="0" borderId="0" xfId="0" applyNumberFormat="1" applyFont="1" applyAlignment="1">
      <alignment horizontal="right"/>
    </xf>
    <xf numFmtId="0" fontId="10" fillId="0" borderId="2" xfId="0" applyFont="1" applyBorder="1"/>
    <xf numFmtId="167" fontId="6" fillId="0" borderId="0" xfId="0" applyNumberFormat="1" applyFont="1" applyAlignment="1">
      <alignment horizontal="right"/>
    </xf>
    <xf numFmtId="167" fontId="10" fillId="0" borderId="0" xfId="0" applyNumberFormat="1" applyFont="1" applyAlignment="1">
      <alignment horizontal="right"/>
    </xf>
    <xf numFmtId="8" fontId="10" fillId="0" borderId="2" xfId="0" applyNumberFormat="1" applyFont="1" applyBorder="1" applyAlignment="1">
      <alignment horizontal="right"/>
    </xf>
    <xf numFmtId="8" fontId="9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wrapText="1"/>
    </xf>
    <xf numFmtId="164" fontId="10" fillId="0" borderId="0" xfId="0" applyNumberFormat="1" applyFont="1" applyAlignment="1">
      <alignment horizontal="left"/>
    </xf>
    <xf numFmtId="164" fontId="10" fillId="0" borderId="2" xfId="0" applyNumberFormat="1" applyFont="1" applyBorder="1" applyAlignment="1">
      <alignment horizontal="left"/>
    </xf>
    <xf numFmtId="38" fontId="8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left"/>
    </xf>
    <xf numFmtId="6" fontId="8" fillId="0" borderId="0" xfId="0" applyNumberFormat="1" applyFont="1" applyAlignment="1">
      <alignment horizontal="right"/>
    </xf>
    <xf numFmtId="6" fontId="10" fillId="0" borderId="0" xfId="0" applyNumberFormat="1" applyFont="1" applyAlignment="1">
      <alignment horizontal="right" vertical="top"/>
    </xf>
    <xf numFmtId="164" fontId="10" fillId="0" borderId="2" xfId="0" applyNumberFormat="1" applyFont="1" applyBorder="1"/>
    <xf numFmtId="38" fontId="10" fillId="0" borderId="0" xfId="0" quotePrefix="1" applyNumberFormat="1" applyFont="1" applyAlignment="1">
      <alignment horizontal="left"/>
    </xf>
    <xf numFmtId="8" fontId="8" fillId="0" borderId="0" xfId="0" applyNumberFormat="1" applyFont="1" applyAlignment="1">
      <alignment horizontal="center" wrapText="1"/>
    </xf>
    <xf numFmtId="165" fontId="10" fillId="0" borderId="0" xfId="0" applyNumberFormat="1" applyFont="1" applyAlignment="1">
      <alignment horizontal="right" wrapText="1"/>
    </xf>
    <xf numFmtId="165" fontId="10" fillId="0" borderId="2" xfId="0" applyNumberFormat="1" applyFont="1" applyBorder="1" applyAlignment="1">
      <alignment horizontal="right" wrapText="1"/>
    </xf>
    <xf numFmtId="38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1" fontId="10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1" fontId="10" fillId="0" borderId="0" xfId="0" applyNumberFormat="1" applyFont="1" applyAlignment="1">
      <alignment horizontal="left"/>
    </xf>
    <xf numFmtId="0" fontId="0" fillId="0" borderId="0" xfId="0"/>
    <xf numFmtId="1" fontId="10" fillId="0" borderId="0" xfId="0" applyNumberFormat="1" applyFont="1" applyAlignment="1" applyProtection="1">
      <alignment horizontal="right"/>
      <protection locked="0"/>
    </xf>
    <xf numFmtId="6" fontId="8" fillId="0" borderId="0" xfId="0" applyNumberFormat="1" applyFont="1" applyAlignment="1">
      <alignment horizontal="center"/>
    </xf>
    <xf numFmtId="6" fontId="8" fillId="0" borderId="0" xfId="0" applyNumberFormat="1" applyFont="1"/>
    <xf numFmtId="2" fontId="8" fillId="0" borderId="0" xfId="0" applyNumberFormat="1" applyFont="1" applyAlignment="1">
      <alignment horizontal="right"/>
    </xf>
    <xf numFmtId="2" fontId="10" fillId="0" borderId="0" xfId="0" applyNumberFormat="1" applyFont="1" applyAlignment="1">
      <alignment horizontal="right"/>
    </xf>
    <xf numFmtId="2" fontId="10" fillId="0" borderId="0" xfId="0" applyNumberFormat="1" applyFont="1" applyAlignment="1" applyProtection="1">
      <alignment horizontal="right"/>
      <protection locked="0"/>
    </xf>
    <xf numFmtId="2" fontId="10" fillId="0" borderId="0" xfId="0" applyNumberFormat="1" applyFont="1" applyAlignment="1" applyProtection="1">
      <alignment horizontal="right" wrapText="1"/>
      <protection locked="0"/>
    </xf>
    <xf numFmtId="0" fontId="10" fillId="0" borderId="0" xfId="0" applyFont="1" applyAlignment="1" applyProtection="1">
      <alignment horizontal="right"/>
      <protection locked="0"/>
    </xf>
    <xf numFmtId="6" fontId="9" fillId="0" borderId="0" xfId="0" applyNumberFormat="1" applyFont="1" applyAlignment="1">
      <alignment horizontal="center" wrapText="1"/>
    </xf>
    <xf numFmtId="9" fontId="10" fillId="0" borderId="0" xfId="0" applyNumberFormat="1" applyFont="1" applyAlignment="1">
      <alignment horizontal="right"/>
    </xf>
    <xf numFmtId="168" fontId="10" fillId="0" borderId="0" xfId="0" applyNumberFormat="1" applyFont="1" applyAlignment="1" applyProtection="1">
      <alignment horizontal="right"/>
      <protection locked="0"/>
    </xf>
    <xf numFmtId="38" fontId="10" fillId="0" borderId="0" xfId="0" applyNumberFormat="1" applyFont="1" applyAlignment="1">
      <alignment horizontal="right"/>
    </xf>
    <xf numFmtId="0" fontId="3" fillId="0" borderId="0" xfId="5" quotePrefix="1" applyFont="1"/>
    <xf numFmtId="9" fontId="10" fillId="0" borderId="0" xfId="0" applyNumberFormat="1" applyFont="1" applyAlignment="1" applyProtection="1">
      <alignment horizontal="right"/>
      <protection locked="0"/>
    </xf>
    <xf numFmtId="169" fontId="10" fillId="0" borderId="0" xfId="0" applyNumberFormat="1" applyFont="1" applyAlignment="1">
      <alignment horizontal="right"/>
    </xf>
    <xf numFmtId="169" fontId="8" fillId="0" borderId="0" xfId="0" applyNumberFormat="1" applyFont="1" applyAlignment="1">
      <alignment horizontal="center"/>
    </xf>
    <xf numFmtId="169" fontId="10" fillId="0" borderId="0" xfId="0" applyNumberFormat="1" applyFont="1" applyAlignment="1">
      <alignment horizontal="left" vertical="top"/>
    </xf>
    <xf numFmtId="168" fontId="8" fillId="0" borderId="0" xfId="0" applyNumberFormat="1" applyFont="1" applyAlignment="1">
      <alignment horizontal="left"/>
    </xf>
    <xf numFmtId="168" fontId="10" fillId="0" borderId="0" xfId="0" applyNumberFormat="1" applyFont="1" applyAlignment="1" applyProtection="1">
      <alignment horizontal="right" vertical="top"/>
      <protection locked="0"/>
    </xf>
    <xf numFmtId="168" fontId="10" fillId="0" borderId="0" xfId="0" applyNumberFormat="1" applyFont="1" applyAlignment="1" applyProtection="1">
      <alignment horizontal="left" vertical="top"/>
      <protection locked="0"/>
    </xf>
    <xf numFmtId="168" fontId="10" fillId="0" borderId="0" xfId="0" applyNumberFormat="1" applyFont="1" applyAlignment="1">
      <alignment horizontal="right"/>
    </xf>
    <xf numFmtId="168" fontId="8" fillId="0" borderId="0" xfId="0" applyNumberFormat="1" applyFont="1" applyAlignment="1">
      <alignment horizontal="center"/>
    </xf>
    <xf numFmtId="168" fontId="10" fillId="0" borderId="0" xfId="0" applyNumberFormat="1" applyFont="1" applyAlignment="1">
      <alignment horizontal="left" vertical="top"/>
    </xf>
    <xf numFmtId="168" fontId="8" fillId="0" borderId="0" xfId="0" applyNumberFormat="1" applyFont="1"/>
    <xf numFmtId="168" fontId="10" fillId="0" borderId="0" xfId="0" applyNumberFormat="1" applyFont="1"/>
    <xf numFmtId="168" fontId="10" fillId="0" borderId="0" xfId="0" applyNumberFormat="1" applyFont="1" applyAlignment="1">
      <alignment vertical="top"/>
    </xf>
    <xf numFmtId="0" fontId="8" fillId="0" borderId="0" xfId="0" applyFont="1" applyAlignment="1">
      <alignment horizontal="center" vertical="top"/>
    </xf>
    <xf numFmtId="168" fontId="10" fillId="0" borderId="0" xfId="0" applyNumberFormat="1" applyFont="1" applyProtection="1">
      <protection locked="0"/>
    </xf>
    <xf numFmtId="0" fontId="8" fillId="0" borderId="0" xfId="0" applyFont="1" applyAlignment="1">
      <alignment horizontal="left" vertical="top"/>
    </xf>
    <xf numFmtId="169" fontId="10" fillId="0" borderId="0" xfId="0" applyNumberFormat="1" applyFont="1" applyAlignment="1">
      <alignment horizontal="left"/>
    </xf>
    <xf numFmtId="0" fontId="10" fillId="0" borderId="0" xfId="0" applyFont="1" applyAlignment="1" applyProtection="1">
      <alignment horizontal="right" vertical="top"/>
      <protection locked="0"/>
    </xf>
    <xf numFmtId="0" fontId="10" fillId="0" borderId="2" xfId="0" applyFont="1" applyBorder="1" applyAlignment="1" applyProtection="1">
      <alignment horizontal="right"/>
      <protection locked="0"/>
    </xf>
    <xf numFmtId="0" fontId="10" fillId="0" borderId="2" xfId="0" applyFont="1" applyBorder="1" applyAlignment="1" applyProtection="1">
      <alignment horizontal="right" vertical="top"/>
      <protection locked="0"/>
    </xf>
    <xf numFmtId="168" fontId="8" fillId="0" borderId="0" xfId="0" applyNumberFormat="1" applyFont="1" applyAlignment="1">
      <alignment horizontal="right"/>
    </xf>
    <xf numFmtId="9" fontId="8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right"/>
    </xf>
    <xf numFmtId="168" fontId="8" fillId="0" borderId="0" xfId="0" applyNumberFormat="1" applyFont="1" applyAlignment="1" applyProtection="1">
      <alignment horizontal="center"/>
      <protection locked="0"/>
    </xf>
    <xf numFmtId="6" fontId="8" fillId="0" borderId="0" xfId="0" applyNumberFormat="1" applyFont="1" applyAlignment="1">
      <alignment horizontal="center" vertical="top"/>
    </xf>
    <xf numFmtId="2" fontId="8" fillId="0" borderId="0" xfId="0" applyNumberFormat="1" applyFont="1" applyAlignment="1">
      <alignment horizontal="center"/>
    </xf>
    <xf numFmtId="168" fontId="8" fillId="0" borderId="0" xfId="0" applyNumberFormat="1" applyFont="1" applyAlignment="1" applyProtection="1">
      <alignment horizontal="center" wrapText="1"/>
      <protection locked="0"/>
    </xf>
    <xf numFmtId="166" fontId="10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center" wrapText="1"/>
    </xf>
    <xf numFmtId="166" fontId="0" fillId="0" borderId="0" xfId="0" applyNumberFormat="1" applyAlignment="1">
      <alignment horizontal="right"/>
    </xf>
    <xf numFmtId="166" fontId="8" fillId="0" borderId="0" xfId="0" applyNumberFormat="1" applyFont="1" applyAlignment="1">
      <alignment horizontal="right"/>
    </xf>
    <xf numFmtId="166" fontId="10" fillId="0" borderId="0" xfId="0" applyNumberFormat="1" applyFont="1"/>
    <xf numFmtId="166" fontId="9" fillId="0" borderId="0" xfId="0" applyNumberFormat="1" applyFont="1" applyAlignment="1">
      <alignment horizontal="right" wrapText="1"/>
    </xf>
    <xf numFmtId="166" fontId="10" fillId="0" borderId="0" xfId="0" applyNumberFormat="1" applyFont="1" applyAlignment="1">
      <alignment horizontal="left" vertical="top"/>
    </xf>
    <xf numFmtId="166" fontId="7" fillId="0" borderId="0" xfId="0" applyNumberFormat="1" applyFont="1" applyAlignment="1">
      <alignment horizontal="center" wrapText="1"/>
    </xf>
    <xf numFmtId="166" fontId="2" fillId="0" borderId="0" xfId="10" applyNumberFormat="1" applyFont="1" applyAlignment="1">
      <alignment horizontal="right"/>
    </xf>
    <xf numFmtId="166" fontId="10" fillId="0" borderId="0" xfId="0" applyNumberFormat="1" applyFont="1" applyAlignment="1" applyProtection="1">
      <alignment horizontal="right"/>
      <protection locked="0"/>
    </xf>
    <xf numFmtId="166" fontId="8" fillId="0" borderId="0" xfId="0" applyNumberFormat="1" applyFont="1" applyAlignment="1" applyProtection="1">
      <alignment horizontal="center" wrapText="1"/>
      <protection locked="0"/>
    </xf>
    <xf numFmtId="166" fontId="11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 wrapText="1"/>
    </xf>
    <xf numFmtId="38" fontId="10" fillId="0" borderId="2" xfId="0" quotePrefix="1" applyNumberFormat="1" applyFont="1" applyBorder="1" applyAlignment="1">
      <alignment horizontal="left"/>
    </xf>
    <xf numFmtId="0" fontId="8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43" fontId="0" fillId="0" borderId="0" xfId="20" applyFont="1"/>
    <xf numFmtId="8" fontId="0" fillId="0" borderId="0" xfId="0" applyNumberFormat="1"/>
    <xf numFmtId="0" fontId="7" fillId="0" borderId="0" xfId="0" applyFont="1" applyAlignment="1">
      <alignment horizontal="left"/>
    </xf>
    <xf numFmtId="6" fontId="0" fillId="0" borderId="2" xfId="20" applyNumberFormat="1" applyFont="1" applyBorder="1" applyAlignment="1">
      <alignment horizontal="left" vertical="top"/>
    </xf>
    <xf numFmtId="6" fontId="10" fillId="0" borderId="0" xfId="20" applyNumberFormat="1" applyFont="1" applyAlignment="1">
      <alignment horizontal="right"/>
    </xf>
    <xf numFmtId="6" fontId="8" fillId="0" borderId="2" xfId="20" applyNumberFormat="1" applyFont="1" applyBorder="1" applyAlignment="1">
      <alignment horizontal="center" wrapText="1"/>
    </xf>
    <xf numFmtId="6" fontId="8" fillId="0" borderId="0" xfId="20" applyNumberFormat="1" applyFont="1" applyBorder="1" applyAlignment="1">
      <alignment horizontal="center" wrapText="1"/>
    </xf>
    <xf numFmtId="6" fontId="10" fillId="0" borderId="0" xfId="20" applyNumberFormat="1" applyFont="1" applyFill="1" applyAlignment="1">
      <alignment horizontal="right"/>
    </xf>
    <xf numFmtId="6" fontId="8" fillId="0" borderId="0" xfId="20" applyNumberFormat="1" applyFont="1" applyAlignment="1">
      <alignment horizontal="right"/>
    </xf>
    <xf numFmtId="6" fontId="0" fillId="0" borderId="0" xfId="20" applyNumberFormat="1" applyFont="1"/>
    <xf numFmtId="6" fontId="10" fillId="0" borderId="0" xfId="20" applyNumberFormat="1" applyFont="1" applyBorder="1" applyAlignment="1">
      <alignment horizontal="right"/>
    </xf>
    <xf numFmtId="6" fontId="10" fillId="0" borderId="0" xfId="20" applyNumberFormat="1" applyFont="1" applyAlignment="1">
      <alignment horizontal="right" wrapText="1"/>
    </xf>
    <xf numFmtId="6" fontId="10" fillId="0" borderId="0" xfId="20" applyNumberFormat="1" applyFont="1" applyAlignment="1">
      <alignment horizontal="left" vertical="top"/>
    </xf>
    <xf numFmtId="6" fontId="9" fillId="0" borderId="0" xfId="20" applyNumberFormat="1" applyFont="1" applyAlignment="1">
      <alignment horizontal="right" wrapText="1"/>
    </xf>
    <xf numFmtId="6" fontId="10" fillId="0" borderId="0" xfId="20" applyNumberFormat="1" applyFont="1" applyAlignment="1">
      <alignment horizontal="right" vertical="top"/>
    </xf>
    <xf numFmtId="6" fontId="8" fillId="0" borderId="3" xfId="20" applyNumberFormat="1" applyFont="1" applyBorder="1" applyAlignment="1">
      <alignment horizontal="center" wrapText="1"/>
    </xf>
    <xf numFmtId="6" fontId="10" fillId="0" borderId="2" xfId="20" applyNumberFormat="1" applyFont="1" applyBorder="1" applyAlignment="1">
      <alignment horizontal="right"/>
    </xf>
    <xf numFmtId="6" fontId="10" fillId="0" borderId="2" xfId="20" applyNumberFormat="1" applyFont="1" applyBorder="1" applyAlignment="1">
      <alignment horizontal="right" wrapText="1"/>
    </xf>
    <xf numFmtId="6" fontId="8" fillId="0" borderId="0" xfId="20" applyNumberFormat="1" applyFont="1" applyAlignment="1">
      <alignment horizontal="center"/>
    </xf>
    <xf numFmtId="6" fontId="10" fillId="0" borderId="0" xfId="20" applyNumberFormat="1" applyFont="1" applyAlignment="1" applyProtection="1">
      <alignment horizontal="right"/>
      <protection locked="0"/>
    </xf>
    <xf numFmtId="6" fontId="8" fillId="0" borderId="0" xfId="20" applyNumberFormat="1" applyFont="1" applyAlignment="1" applyProtection="1">
      <alignment horizontal="center"/>
      <protection locked="0"/>
    </xf>
    <xf numFmtId="6" fontId="10" fillId="0" borderId="0" xfId="20" applyNumberFormat="1" applyFont="1" applyProtection="1">
      <protection locked="0"/>
    </xf>
    <xf numFmtId="6" fontId="10" fillId="0" borderId="2" xfId="20" applyNumberFormat="1" applyFont="1" applyBorder="1" applyAlignment="1" applyProtection="1">
      <alignment horizontal="right"/>
      <protection locked="0"/>
    </xf>
    <xf numFmtId="6" fontId="10" fillId="0" borderId="0" xfId="20" applyNumberFormat="1" applyFont="1"/>
    <xf numFmtId="6" fontId="10" fillId="0" borderId="2" xfId="20" applyNumberFormat="1" applyFont="1" applyFill="1" applyBorder="1" applyAlignment="1">
      <alignment horizontal="right"/>
    </xf>
    <xf numFmtId="0" fontId="13" fillId="0" borderId="2" xfId="0" applyFont="1" applyBorder="1" applyAlignment="1">
      <alignment horizontal="center" vertical="center"/>
    </xf>
    <xf numFmtId="0" fontId="0" fillId="0" borderId="2" xfId="0" applyBorder="1"/>
    <xf numFmtId="0" fontId="13" fillId="0" borderId="0" xfId="0" applyFont="1" applyAlignment="1">
      <alignment horizontal="center" vertical="center"/>
    </xf>
    <xf numFmtId="0" fontId="0" fillId="0" borderId="0" xfId="0"/>
    <xf numFmtId="0" fontId="9" fillId="0" borderId="0" xfId="0" applyFont="1" applyFill="1" applyAlignment="1">
      <alignment horizontal="left" wrapText="1"/>
    </xf>
    <xf numFmtId="6" fontId="10" fillId="0" borderId="0" xfId="0" applyNumberFormat="1" applyFont="1" applyFill="1" applyAlignment="1">
      <alignment horizontal="right"/>
    </xf>
    <xf numFmtId="6" fontId="9" fillId="0" borderId="0" xfId="20" applyNumberFormat="1" applyFont="1" applyAlignment="1">
      <alignment horizontal="right"/>
    </xf>
  </cellXfs>
  <cellStyles count="21">
    <cellStyle name="Comma" xfId="20" builtinId="3"/>
    <cellStyle name="Normal" xfId="0" builtinId="0"/>
    <cellStyle name="Normal 10" xfId="9" xr:uid="{00000000-0005-0000-0000-000009000000}"/>
    <cellStyle name="Normal 11" xfId="10" xr:uid="{00000000-0005-0000-0000-00000A000000}"/>
    <cellStyle name="Normal 12" xfId="11" xr:uid="{00000000-0005-0000-0000-00000B000000}"/>
    <cellStyle name="Normal 13" xfId="12" xr:uid="{00000000-0005-0000-0000-00000C000000}"/>
    <cellStyle name="Normal 14" xfId="13" xr:uid="{00000000-0005-0000-0000-00000D000000}"/>
    <cellStyle name="Normal 15" xfId="14" xr:uid="{00000000-0005-0000-0000-00000E000000}"/>
    <cellStyle name="Normal 16" xfId="15" xr:uid="{00000000-0005-0000-0000-00000F000000}"/>
    <cellStyle name="Normal 17" xfId="16" xr:uid="{00000000-0005-0000-0000-000010000000}"/>
    <cellStyle name="Normal 18" xfId="17" xr:uid="{00000000-0005-0000-0000-000011000000}"/>
    <cellStyle name="Normal 19" xfId="18" xr:uid="{00000000-0005-0000-0000-000012000000}"/>
    <cellStyle name="Normal 2" xfId="1" xr:uid="{00000000-0005-0000-0000-000001000000}"/>
    <cellStyle name="Normal 20" xfId="19" xr:uid="{6C3B3FEB-F7F4-4C05-80A0-3EE5562FDE1E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00000000-0005-0000-0000-000005000000}"/>
    <cellStyle name="Normal 7" xfId="6" xr:uid="{00000000-0005-0000-0000-000006000000}"/>
    <cellStyle name="Normal 8" xfId="7" xr:uid="{00000000-0005-0000-0000-000007000000}"/>
    <cellStyle name="Normal 9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457200</xdr:colOff>
      <xdr:row>1</xdr:row>
      <xdr:rowOff>1269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57200" cy="54419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457200</xdr:colOff>
      <xdr:row>1</xdr:row>
      <xdr:rowOff>1269</xdr:rowOff>
    </xdr:to>
    <xdr:pic>
      <xdr:nvPicPr>
        <xdr:cNvPr id="4" name="image1.jpeg">
          <a:extLst>
            <a:ext uri="{FF2B5EF4-FFF2-40B4-BE49-F238E27FC236}">
              <a16:creationId xmlns:a16="http://schemas.microsoft.com/office/drawing/2014/main" id="{9E11769D-8CAF-4546-A000-459B2CB15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57200" cy="544194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148"/>
  <sheetViews>
    <sheetView showZeros="0" tabSelected="1" zoomScaleNormal="100" workbookViewId="0">
      <pane xSplit="1" topLeftCell="B1" activePane="topRight" state="frozen"/>
      <selection pane="topRight"/>
    </sheetView>
  </sheetViews>
  <sheetFormatPr defaultRowHeight="12.75" x14ac:dyDescent="0.2"/>
  <cols>
    <col min="1" max="1" width="47.33203125" style="74" bestFit="1" customWidth="1"/>
    <col min="2" max="15" width="15.83203125" style="74" customWidth="1"/>
    <col min="16" max="16" width="15.83203125" style="117" customWidth="1"/>
    <col min="17" max="17" width="17.33203125" style="5" customWidth="1"/>
    <col min="18" max="18" width="19" style="6" customWidth="1"/>
    <col min="19" max="19" width="15.83203125" style="7" customWidth="1"/>
    <col min="20" max="20" width="15.83203125" style="74" customWidth="1"/>
    <col min="21" max="22" width="15.83203125" style="5" customWidth="1"/>
    <col min="23" max="23" width="18.33203125" style="79" bestFit="1" customWidth="1"/>
    <col min="24" max="24" width="10.83203125" style="79" bestFit="1" customWidth="1"/>
    <col min="25" max="25" width="12.1640625" style="79" bestFit="1" customWidth="1"/>
  </cols>
  <sheetData>
    <row r="1" spans="1:25" ht="42.95" customHeight="1" x14ac:dyDescent="0.2">
      <c r="A1" s="3"/>
      <c r="B1" s="3"/>
      <c r="C1" s="3"/>
      <c r="D1" s="3"/>
      <c r="E1" s="3"/>
      <c r="F1" s="156">
        <v>2024</v>
      </c>
      <c r="G1" s="157"/>
      <c r="H1" s="157"/>
      <c r="I1" s="157"/>
      <c r="J1" s="3"/>
      <c r="K1" s="3"/>
      <c r="L1" s="3"/>
      <c r="M1" s="3"/>
    </row>
    <row r="2" spans="1:25" s="2" customFormat="1" ht="39.950000000000003" customHeight="1" x14ac:dyDescent="0.2">
      <c r="A2" s="10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2"/>
      <c r="O2" s="12"/>
      <c r="P2" s="118"/>
      <c r="Q2" s="13"/>
      <c r="R2" s="62"/>
      <c r="S2" s="14"/>
      <c r="T2" s="15"/>
      <c r="U2" s="13"/>
      <c r="V2" s="13"/>
      <c r="W2" s="78"/>
      <c r="X2" s="78"/>
      <c r="Y2" s="78"/>
    </row>
    <row r="3" spans="1:25" ht="17.100000000000001" customHeight="1" x14ac:dyDescent="0.2">
      <c r="A3" s="16" t="s">
        <v>13</v>
      </c>
      <c r="B3" s="17">
        <v>2884.74</v>
      </c>
      <c r="C3" s="17">
        <v>5336.15</v>
      </c>
      <c r="D3" s="17">
        <v>3612.25</v>
      </c>
      <c r="E3" s="17">
        <v>4018.78</v>
      </c>
      <c r="F3" s="17">
        <v>1516.18</v>
      </c>
      <c r="G3" s="18">
        <v>3220.49</v>
      </c>
      <c r="H3" s="19">
        <v>571.85000000000014</v>
      </c>
      <c r="I3" s="19">
        <v>4589.45</v>
      </c>
      <c r="J3" s="19">
        <v>3646.01</v>
      </c>
      <c r="K3" s="19">
        <v>6670.14</v>
      </c>
      <c r="L3" s="19">
        <v>9052.14</v>
      </c>
      <c r="M3" s="19">
        <v>7717.83</v>
      </c>
      <c r="N3" s="20"/>
      <c r="O3" s="20"/>
      <c r="P3" s="115"/>
      <c r="Q3" s="21"/>
      <c r="R3" s="29"/>
      <c r="S3" s="14"/>
      <c r="T3" s="22"/>
      <c r="U3" s="21"/>
      <c r="V3" s="21"/>
    </row>
    <row r="4" spans="1:25" ht="17.100000000000001" customHeight="1" x14ac:dyDescent="0.2">
      <c r="A4" s="16" t="s">
        <v>14</v>
      </c>
      <c r="B4" s="17">
        <v>167681.96</v>
      </c>
      <c r="C4" s="17">
        <v>65110.33</v>
      </c>
      <c r="D4" s="17">
        <v>190516.51</v>
      </c>
      <c r="E4" s="17">
        <v>157301.62</v>
      </c>
      <c r="F4" s="17">
        <v>126174.55</v>
      </c>
      <c r="G4" s="18">
        <v>97450.880000000005</v>
      </c>
      <c r="H4" s="19">
        <v>605495.81999999995</v>
      </c>
      <c r="I4" s="19">
        <v>184348.43</v>
      </c>
      <c r="J4" s="19">
        <v>206474.96</v>
      </c>
      <c r="K4" s="19">
        <v>148668.42000000001</v>
      </c>
      <c r="L4" s="19">
        <v>398300.34</v>
      </c>
      <c r="M4" s="19">
        <v>167488.78</v>
      </c>
      <c r="N4" s="20"/>
      <c r="O4" s="20"/>
      <c r="P4" s="115"/>
      <c r="Q4" s="21"/>
      <c r="R4" s="29"/>
      <c r="S4" s="14"/>
      <c r="T4" s="22"/>
      <c r="U4" s="21"/>
      <c r="V4" s="21"/>
    </row>
    <row r="5" spans="1:25" ht="17.100000000000001" customHeight="1" x14ac:dyDescent="0.2">
      <c r="A5" s="16" t="s">
        <v>15</v>
      </c>
      <c r="B5" s="17">
        <v>2911983.09</v>
      </c>
      <c r="C5" s="17">
        <v>2932242.38</v>
      </c>
      <c r="D5" s="17">
        <v>3089007.82</v>
      </c>
      <c r="E5" s="17">
        <v>3051507.91</v>
      </c>
      <c r="F5" s="17">
        <v>3196947.59</v>
      </c>
      <c r="G5" s="18">
        <v>3153994.99</v>
      </c>
      <c r="H5" s="19">
        <v>2858707.64</v>
      </c>
      <c r="I5" s="19">
        <v>2383361.19</v>
      </c>
      <c r="J5" s="19">
        <v>2104734.36</v>
      </c>
      <c r="K5" s="19">
        <v>2019585.3</v>
      </c>
      <c r="L5" s="19">
        <v>1833415.24</v>
      </c>
      <c r="M5" s="19">
        <v>1850495.24</v>
      </c>
      <c r="N5" s="20"/>
      <c r="O5" s="20"/>
      <c r="P5" s="115"/>
      <c r="Q5" s="21"/>
      <c r="R5" s="29"/>
      <c r="S5" s="14"/>
      <c r="T5" s="22"/>
      <c r="U5" s="21"/>
      <c r="V5" s="21"/>
    </row>
    <row r="6" spans="1:25" ht="17.100000000000001" customHeight="1" x14ac:dyDescent="0.2">
      <c r="A6" s="16" t="s">
        <v>16</v>
      </c>
      <c r="B6" s="17">
        <v>14761.3</v>
      </c>
      <c r="C6" s="17">
        <v>14764.23</v>
      </c>
      <c r="D6" s="17">
        <v>14767.36</v>
      </c>
      <c r="E6" s="17">
        <v>253609.47</v>
      </c>
      <c r="F6" s="17">
        <v>254309.5</v>
      </c>
      <c r="G6" s="18">
        <v>254988.82</v>
      </c>
      <c r="H6" s="19">
        <v>255692.66</v>
      </c>
      <c r="I6" s="19">
        <v>256398.44</v>
      </c>
      <c r="J6" s="19">
        <v>257034.87</v>
      </c>
      <c r="K6" s="19">
        <v>257657.04</v>
      </c>
      <c r="L6" s="19">
        <v>258260.59</v>
      </c>
      <c r="M6" s="19">
        <v>258867.32</v>
      </c>
      <c r="N6" s="20"/>
      <c r="O6" s="20"/>
      <c r="P6" s="115"/>
      <c r="Q6" s="21"/>
      <c r="R6" s="29"/>
      <c r="S6" s="14"/>
      <c r="T6" s="22"/>
      <c r="U6" s="21"/>
      <c r="V6" s="21"/>
    </row>
    <row r="7" spans="1:25" ht="17.100000000000001" customHeight="1" x14ac:dyDescent="0.2">
      <c r="A7" s="16" t="s">
        <v>17</v>
      </c>
      <c r="B7" s="17">
        <v>238691.1</v>
      </c>
      <c r="C7" s="17">
        <v>238691.1</v>
      </c>
      <c r="D7" s="17">
        <v>238770.89</v>
      </c>
      <c r="E7" s="17">
        <v>0</v>
      </c>
      <c r="F7" s="17">
        <v>0</v>
      </c>
      <c r="G7" s="18">
        <v>0</v>
      </c>
      <c r="H7" s="19">
        <v>20.27</v>
      </c>
      <c r="I7" s="19">
        <v>20.27</v>
      </c>
      <c r="J7" s="19">
        <v>20.27</v>
      </c>
      <c r="K7" s="19">
        <v>20.27</v>
      </c>
      <c r="L7" s="19">
        <v>20.27</v>
      </c>
      <c r="M7" s="19">
        <v>0</v>
      </c>
      <c r="N7" s="20"/>
      <c r="O7" s="20"/>
      <c r="P7" s="115"/>
      <c r="Q7" s="21"/>
      <c r="R7" s="29"/>
      <c r="S7" s="14"/>
      <c r="T7" s="22"/>
      <c r="U7" s="21"/>
      <c r="V7" s="21"/>
    </row>
    <row r="8" spans="1:25" ht="17.100000000000001" customHeight="1" x14ac:dyDescent="0.2">
      <c r="A8" s="16" t="s">
        <v>18</v>
      </c>
      <c r="B8" s="17">
        <v>128069.52</v>
      </c>
      <c r="C8" s="17">
        <v>128624.74</v>
      </c>
      <c r="D8" s="17">
        <v>129215.01</v>
      </c>
      <c r="E8" s="17">
        <v>129786.87</v>
      </c>
      <c r="F8" s="17">
        <v>130378.35</v>
      </c>
      <c r="G8" s="18">
        <v>130951.9</v>
      </c>
      <c r="H8" s="19">
        <v>131545.79</v>
      </c>
      <c r="I8" s="19">
        <v>132140.87</v>
      </c>
      <c r="J8" s="19">
        <v>132706.35</v>
      </c>
      <c r="K8" s="19">
        <v>133267.20000000001</v>
      </c>
      <c r="L8" s="19">
        <v>133793.54999999999</v>
      </c>
      <c r="M8" s="19">
        <v>134322.69</v>
      </c>
      <c r="N8" s="20"/>
      <c r="O8" s="20"/>
      <c r="P8" s="115"/>
      <c r="Q8" s="21"/>
      <c r="R8" s="29"/>
      <c r="S8" s="14"/>
      <c r="T8" s="22"/>
      <c r="U8" s="21"/>
      <c r="V8" s="21"/>
    </row>
    <row r="9" spans="1:25" ht="17.100000000000001" customHeight="1" x14ac:dyDescent="0.2">
      <c r="A9" s="23" t="s">
        <v>19</v>
      </c>
      <c r="B9" s="24">
        <v>2125334.38</v>
      </c>
      <c r="C9" s="24">
        <v>2169009.91</v>
      </c>
      <c r="D9" s="24">
        <v>2213173.0299999998</v>
      </c>
      <c r="E9" s="24">
        <v>2264479.56</v>
      </c>
      <c r="F9" s="24">
        <v>2316131.54</v>
      </c>
      <c r="G9" s="25">
        <v>2370945.75</v>
      </c>
      <c r="H9" s="26">
        <v>2437802.54</v>
      </c>
      <c r="I9" s="26">
        <v>2496225.46</v>
      </c>
      <c r="J9" s="26">
        <v>2576828.4500000002</v>
      </c>
      <c r="K9" s="26">
        <v>2641625.02</v>
      </c>
      <c r="L9" s="26">
        <v>2715123.51</v>
      </c>
      <c r="M9" s="26">
        <v>2769138.9</v>
      </c>
      <c r="N9" s="20"/>
      <c r="O9" s="20"/>
      <c r="P9" s="115"/>
      <c r="Q9" s="21"/>
      <c r="R9" s="29"/>
      <c r="S9" s="14"/>
      <c r="T9" s="22"/>
      <c r="U9" s="21"/>
      <c r="V9" s="21"/>
    </row>
    <row r="10" spans="1:25" s="4" customFormat="1" ht="17.100000000000001" customHeight="1" x14ac:dyDescent="0.2">
      <c r="A10" s="43" t="s">
        <v>20</v>
      </c>
      <c r="B10" s="18">
        <f>SUM(B3:B9)</f>
        <v>5589406.0899999999</v>
      </c>
      <c r="C10" s="18">
        <f t="shared" ref="C10:L10" si="0">IF(SUM(C3:C9)=0, "", SUM(C3:C9))</f>
        <v>5553778.8399999999</v>
      </c>
      <c r="D10" s="18">
        <f t="shared" si="0"/>
        <v>5879062.8699999992</v>
      </c>
      <c r="E10" s="18">
        <f t="shared" si="0"/>
        <v>5860704.2100000009</v>
      </c>
      <c r="F10" s="18">
        <f t="shared" si="0"/>
        <v>6025457.71</v>
      </c>
      <c r="G10" s="18">
        <f t="shared" si="0"/>
        <v>6011552.8300000001</v>
      </c>
      <c r="H10" s="18">
        <f t="shared" si="0"/>
        <v>6289836.5700000003</v>
      </c>
      <c r="I10" s="18">
        <f t="shared" si="0"/>
        <v>5457084.1099999994</v>
      </c>
      <c r="J10" s="18">
        <f t="shared" si="0"/>
        <v>5281445.2700000005</v>
      </c>
      <c r="K10" s="18">
        <f t="shared" si="0"/>
        <v>5207493.3900000006</v>
      </c>
      <c r="L10" s="18">
        <f t="shared" si="0"/>
        <v>5347965.6399999997</v>
      </c>
      <c r="M10" s="18">
        <v>5188030.76</v>
      </c>
      <c r="N10" s="19"/>
      <c r="O10" s="19"/>
      <c r="P10" s="115"/>
      <c r="Q10" s="21"/>
      <c r="R10" s="29"/>
      <c r="S10" s="14"/>
      <c r="T10" s="27"/>
      <c r="U10" s="21"/>
      <c r="V10" s="21"/>
      <c r="W10" s="79"/>
      <c r="X10" s="79"/>
      <c r="Y10" s="79"/>
    </row>
    <row r="11" spans="1:25" s="27" customFormat="1" ht="12" customHeight="1" x14ac:dyDescent="0.2">
      <c r="B11" s="58"/>
      <c r="C11" s="58"/>
      <c r="D11" s="58"/>
      <c r="E11" s="58"/>
      <c r="F11" s="58"/>
      <c r="G11" s="58"/>
      <c r="P11" s="115"/>
      <c r="Q11" s="21"/>
      <c r="R11" s="29"/>
      <c r="S11" s="14"/>
      <c r="U11" s="21"/>
      <c r="V11" s="21"/>
      <c r="W11" s="79"/>
      <c r="X11" s="79"/>
      <c r="Y11" s="79"/>
    </row>
    <row r="12" spans="1:25" s="27" customFormat="1" ht="17.100000000000001" customHeight="1" x14ac:dyDescent="0.2">
      <c r="A12" s="30" t="s">
        <v>21</v>
      </c>
      <c r="B12" s="59"/>
      <c r="C12" s="59"/>
      <c r="D12" s="59"/>
      <c r="E12" s="59"/>
      <c r="F12" s="59"/>
      <c r="G12" s="59"/>
      <c r="H12" s="49"/>
      <c r="I12" s="49"/>
      <c r="J12" s="49"/>
      <c r="K12" s="49"/>
      <c r="L12" s="49"/>
      <c r="M12" s="49"/>
      <c r="P12" s="115"/>
      <c r="Q12" s="21"/>
      <c r="R12" s="29"/>
      <c r="S12" s="14"/>
      <c r="U12" s="21"/>
      <c r="V12" s="21"/>
      <c r="W12" s="79"/>
      <c r="X12" s="79"/>
      <c r="Y12" s="79"/>
    </row>
    <row r="13" spans="1:25" s="46" customFormat="1" ht="17.100000000000001" customHeight="1" x14ac:dyDescent="0.2">
      <c r="A13" s="46" t="s">
        <v>22</v>
      </c>
      <c r="B13" s="44">
        <v>1719500</v>
      </c>
      <c r="C13" s="44">
        <v>1719500</v>
      </c>
      <c r="D13" s="44">
        <v>1719500</v>
      </c>
      <c r="E13" s="44">
        <v>1719500</v>
      </c>
      <c r="F13" s="44">
        <v>1719500</v>
      </c>
      <c r="G13" s="44">
        <v>1719500</v>
      </c>
      <c r="H13" s="44">
        <v>1719500</v>
      </c>
      <c r="I13" s="44">
        <v>1719500</v>
      </c>
      <c r="J13" s="44">
        <v>1719500</v>
      </c>
      <c r="K13" s="44">
        <v>1719500</v>
      </c>
      <c r="L13" s="44">
        <v>1719500</v>
      </c>
      <c r="M13" s="44">
        <v>1552000</v>
      </c>
      <c r="N13" s="45"/>
      <c r="P13" s="119"/>
      <c r="R13" s="44"/>
      <c r="S13" s="15"/>
      <c r="W13" s="79"/>
      <c r="X13" s="79"/>
      <c r="Y13" s="79"/>
    </row>
    <row r="14" spans="1:25" s="46" customFormat="1" ht="12" customHeight="1" x14ac:dyDescent="0.2">
      <c r="A14" s="30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51"/>
      <c r="M14" s="51"/>
      <c r="P14" s="119"/>
      <c r="R14" s="44"/>
      <c r="S14" s="15"/>
      <c r="W14" s="79"/>
      <c r="X14" s="79"/>
      <c r="Y14" s="79"/>
    </row>
    <row r="15" spans="1:25" s="46" customFormat="1" ht="17.100000000000001" customHeight="1" x14ac:dyDescent="0.2">
      <c r="A15" s="14" t="s">
        <v>23</v>
      </c>
      <c r="B15" s="45">
        <f t="shared" ref="B15:L15" si="1">IF(B10="", "", B10-B13)</f>
        <v>3869906.09</v>
      </c>
      <c r="C15" s="45">
        <f t="shared" si="1"/>
        <v>3834278.84</v>
      </c>
      <c r="D15" s="45">
        <f t="shared" si="1"/>
        <v>4159562.8699999992</v>
      </c>
      <c r="E15" s="45">
        <f t="shared" si="1"/>
        <v>4141204.2100000009</v>
      </c>
      <c r="F15" s="45">
        <f t="shared" si="1"/>
        <v>4305957.71</v>
      </c>
      <c r="G15" s="45">
        <f t="shared" si="1"/>
        <v>4292052.83</v>
      </c>
      <c r="H15" s="45">
        <f t="shared" si="1"/>
        <v>4570336.57</v>
      </c>
      <c r="I15" s="45">
        <f t="shared" si="1"/>
        <v>3737584.1099999994</v>
      </c>
      <c r="J15" s="45">
        <f t="shared" si="1"/>
        <v>3561945.2700000005</v>
      </c>
      <c r="K15" s="45">
        <f t="shared" si="1"/>
        <v>3487993.3900000006</v>
      </c>
      <c r="L15" s="45">
        <f t="shared" si="1"/>
        <v>3628465.6399999997</v>
      </c>
      <c r="M15" s="45">
        <v>3636030.76</v>
      </c>
      <c r="N15" s="45"/>
      <c r="P15" s="119"/>
      <c r="R15" s="44"/>
      <c r="S15" s="15"/>
      <c r="W15" s="79"/>
      <c r="X15" s="79"/>
      <c r="Y15" s="79"/>
    </row>
    <row r="16" spans="1:25" s="46" customFormat="1" ht="17.100000000000001" customHeight="1" x14ac:dyDescent="0.2">
      <c r="A16" s="30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51"/>
      <c r="M16" s="51"/>
      <c r="N16" s="43"/>
      <c r="P16" s="119"/>
      <c r="R16" s="44"/>
      <c r="S16" s="15"/>
      <c r="W16" s="79"/>
      <c r="X16" s="79"/>
      <c r="Y16" s="79"/>
    </row>
    <row r="17" spans="1:25" s="44" customFormat="1" ht="17.100000000000001" customHeight="1" x14ac:dyDescent="0.2">
      <c r="A17" s="76" t="s">
        <v>24</v>
      </c>
      <c r="B17" s="44">
        <v>25005.070000000302</v>
      </c>
      <c r="C17" s="44">
        <f t="shared" ref="C17:M17" si="2">IF(C15="", "", C15-B15)</f>
        <v>-35627.25</v>
      </c>
      <c r="D17" s="44">
        <f t="shared" si="2"/>
        <v>325284.02999999933</v>
      </c>
      <c r="E17" s="44">
        <f t="shared" si="2"/>
        <v>-18358.659999998286</v>
      </c>
      <c r="F17" s="44">
        <f t="shared" si="2"/>
        <v>164753.49999999907</v>
      </c>
      <c r="G17" s="44">
        <f t="shared" si="2"/>
        <v>-13904.879999999888</v>
      </c>
      <c r="H17" s="44">
        <f t="shared" si="2"/>
        <v>278283.74000000022</v>
      </c>
      <c r="I17" s="44">
        <f t="shared" si="2"/>
        <v>-832752.46000000089</v>
      </c>
      <c r="J17" s="44">
        <f t="shared" si="2"/>
        <v>-175638.83999999892</v>
      </c>
      <c r="K17" s="44">
        <f t="shared" si="2"/>
        <v>-73951.879999999888</v>
      </c>
      <c r="L17" s="44">
        <f t="shared" si="2"/>
        <v>140472.24999999907</v>
      </c>
      <c r="M17" s="44">
        <f t="shared" si="2"/>
        <v>7565.1200000001118</v>
      </c>
      <c r="P17" s="119"/>
      <c r="S17" s="77"/>
      <c r="W17" s="79"/>
      <c r="X17" s="79"/>
      <c r="Y17" s="79"/>
    </row>
    <row r="18" spans="1:25" s="46" customFormat="1" ht="17.100000000000001" customHeight="1" x14ac:dyDescent="0.2">
      <c r="P18" s="119"/>
      <c r="R18" s="44"/>
      <c r="S18" s="15"/>
      <c r="W18" s="79"/>
      <c r="X18" s="79"/>
      <c r="Y18" s="79"/>
    </row>
    <row r="19" spans="1:25" s="5" customFormat="1" ht="17.100000000000001" customHeight="1" x14ac:dyDescent="0.2">
      <c r="A19" s="21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115"/>
      <c r="Q19" s="21"/>
      <c r="R19" s="29"/>
      <c r="S19" s="14"/>
      <c r="T19" s="21"/>
      <c r="U19" s="21"/>
      <c r="V19" s="21"/>
      <c r="W19" s="79"/>
      <c r="X19" s="79"/>
      <c r="Y19" s="79"/>
    </row>
    <row r="20" spans="1:25" s="5" customFormat="1" ht="17.100000000000001" customHeight="1" x14ac:dyDescent="0.2">
      <c r="A20" s="21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1"/>
      <c r="O20" s="21"/>
      <c r="P20" s="115"/>
      <c r="Q20" s="21"/>
      <c r="R20" s="29"/>
      <c r="S20" s="14"/>
      <c r="T20" s="21"/>
      <c r="U20" s="21"/>
      <c r="V20" s="21"/>
      <c r="W20" s="79"/>
      <c r="X20" s="79"/>
      <c r="Y20" s="79"/>
    </row>
    <row r="21" spans="1:25" ht="17.100000000000001" customHeight="1" x14ac:dyDescent="0.2">
      <c r="A21" s="22"/>
      <c r="B21" s="28"/>
      <c r="C21" s="28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115"/>
      <c r="Q21" s="21"/>
      <c r="R21" s="29"/>
      <c r="S21" s="14"/>
      <c r="T21" s="22"/>
      <c r="U21" s="21"/>
      <c r="V21" s="21"/>
    </row>
    <row r="22" spans="1:25" ht="39.950000000000003" customHeight="1" x14ac:dyDescent="0.2">
      <c r="A22" s="10" t="s">
        <v>25</v>
      </c>
      <c r="B22" s="57" t="s">
        <v>138</v>
      </c>
      <c r="C22" s="57" t="s">
        <v>139</v>
      </c>
      <c r="D22" s="116"/>
      <c r="E22" s="9"/>
      <c r="F22" s="47"/>
      <c r="G22" s="43"/>
      <c r="H22" s="43"/>
      <c r="I22" s="43"/>
      <c r="J22" s="43"/>
      <c r="K22" s="79"/>
      <c r="L22" s="79"/>
      <c r="M22" s="79"/>
      <c r="N22"/>
      <c r="O22"/>
      <c r="P22"/>
      <c r="Q22"/>
      <c r="R22"/>
      <c r="S22"/>
      <c r="T22"/>
      <c r="U22"/>
      <c r="V22"/>
      <c r="W22"/>
      <c r="X22"/>
      <c r="Y22"/>
    </row>
    <row r="23" spans="1:25" ht="17.100000000000001" customHeight="1" x14ac:dyDescent="0.2">
      <c r="A23" s="16" t="s">
        <v>26</v>
      </c>
      <c r="B23" s="29">
        <v>671723.01</v>
      </c>
      <c r="C23" s="29">
        <v>55976.917500000003</v>
      </c>
      <c r="D23" s="115"/>
      <c r="E23" s="29"/>
      <c r="F23" s="29"/>
      <c r="G23" s="32"/>
      <c r="H23" s="19"/>
      <c r="I23" s="52"/>
      <c r="J23" s="29"/>
      <c r="K23" s="80"/>
      <c r="L23" s="80"/>
      <c r="M23" s="80"/>
      <c r="N23"/>
      <c r="O23"/>
      <c r="P23"/>
      <c r="Q23"/>
      <c r="R23"/>
      <c r="S23"/>
      <c r="T23"/>
      <c r="U23"/>
      <c r="V23"/>
      <c r="W23"/>
      <c r="X23"/>
      <c r="Y23"/>
    </row>
    <row r="24" spans="1:25" ht="17.100000000000001" customHeight="1" x14ac:dyDescent="0.2">
      <c r="A24" s="16" t="s">
        <v>27</v>
      </c>
      <c r="B24" s="29">
        <v>126477.15</v>
      </c>
      <c r="C24" s="29">
        <v>10539.762499999999</v>
      </c>
      <c r="D24" s="115"/>
      <c r="E24" s="29"/>
      <c r="F24" s="29"/>
      <c r="G24" s="32"/>
      <c r="H24" s="19"/>
      <c r="I24" s="52"/>
      <c r="J24" s="29"/>
      <c r="K24" s="80"/>
      <c r="L24" s="80"/>
      <c r="M24" s="80"/>
      <c r="N24"/>
      <c r="O24"/>
      <c r="P24"/>
      <c r="Q24"/>
      <c r="R24"/>
      <c r="S24"/>
      <c r="T24"/>
      <c r="U24"/>
      <c r="V24"/>
      <c r="W24"/>
      <c r="X24"/>
      <c r="Y24"/>
    </row>
    <row r="25" spans="1:25" ht="17.100000000000001" customHeight="1" x14ac:dyDescent="0.2">
      <c r="A25" s="16" t="s">
        <v>28</v>
      </c>
      <c r="B25" s="29">
        <v>10587</v>
      </c>
      <c r="C25" s="29">
        <v>882.25</v>
      </c>
      <c r="D25" s="115"/>
      <c r="E25" s="29"/>
      <c r="F25" s="29"/>
      <c r="G25" s="32"/>
      <c r="H25" s="19"/>
      <c r="I25" s="52"/>
      <c r="J25" s="29"/>
      <c r="K25" s="80"/>
      <c r="L25" s="80"/>
      <c r="M25" s="80"/>
      <c r="N25"/>
      <c r="O25"/>
      <c r="P25"/>
      <c r="Q25"/>
      <c r="R25"/>
      <c r="S25"/>
      <c r="T25"/>
      <c r="U25"/>
      <c r="V25"/>
      <c r="W25"/>
      <c r="X25"/>
      <c r="Y25"/>
    </row>
    <row r="26" spans="1:25" ht="17.100000000000001" customHeight="1" x14ac:dyDescent="0.2">
      <c r="A26" s="16" t="s">
        <v>29</v>
      </c>
      <c r="B26" s="29">
        <v>150122.47</v>
      </c>
      <c r="C26" s="29">
        <v>12510.205833333333</v>
      </c>
      <c r="D26" s="115"/>
      <c r="E26" s="29"/>
      <c r="F26" s="29"/>
      <c r="G26" s="32"/>
      <c r="H26" s="19"/>
      <c r="I26" s="52"/>
      <c r="J26" s="29"/>
      <c r="K26" s="80"/>
      <c r="L26" s="80"/>
      <c r="M26" s="80"/>
      <c r="N26"/>
      <c r="O26"/>
      <c r="P26"/>
      <c r="Q26"/>
      <c r="R26"/>
      <c r="S26"/>
      <c r="T26"/>
      <c r="U26"/>
      <c r="V26"/>
      <c r="W26"/>
      <c r="X26"/>
      <c r="Y26"/>
    </row>
    <row r="27" spans="1:25" ht="17.100000000000001" customHeight="1" x14ac:dyDescent="0.2">
      <c r="A27" s="16" t="s">
        <v>30</v>
      </c>
      <c r="B27" s="29">
        <v>132</v>
      </c>
      <c r="C27" s="29">
        <v>11</v>
      </c>
      <c r="D27" s="115"/>
      <c r="E27" s="29"/>
      <c r="F27" s="29"/>
      <c r="G27" s="32"/>
      <c r="H27" s="19"/>
      <c r="I27" s="52"/>
      <c r="J27" s="29"/>
      <c r="K27" s="80"/>
      <c r="L27" s="80"/>
      <c r="M27" s="80"/>
      <c r="N27"/>
      <c r="O27"/>
      <c r="P27"/>
      <c r="Q27"/>
      <c r="R27"/>
      <c r="S27"/>
      <c r="T27"/>
      <c r="U27"/>
      <c r="V27"/>
      <c r="W27"/>
      <c r="X27"/>
      <c r="Y27"/>
    </row>
    <row r="28" spans="1:25" ht="17.100000000000001" customHeight="1" x14ac:dyDescent="0.2">
      <c r="A28" s="16" t="s">
        <v>31</v>
      </c>
      <c r="B28" s="29">
        <v>14546.04</v>
      </c>
      <c r="C28" s="29">
        <v>1212.17</v>
      </c>
      <c r="D28" s="115"/>
      <c r="E28" s="29"/>
      <c r="F28" s="29"/>
      <c r="G28" s="32"/>
      <c r="H28" s="19"/>
      <c r="I28" s="52"/>
      <c r="J28" s="29"/>
      <c r="K28" s="80"/>
      <c r="L28" s="80"/>
      <c r="M28" s="80"/>
      <c r="N28"/>
      <c r="O28"/>
      <c r="P28"/>
      <c r="Q28"/>
      <c r="R28"/>
      <c r="S28"/>
      <c r="T28"/>
      <c r="U28"/>
      <c r="V28"/>
      <c r="W28"/>
      <c r="X28"/>
      <c r="Y28"/>
    </row>
    <row r="29" spans="1:25" ht="17.100000000000001" customHeight="1" x14ac:dyDescent="0.2">
      <c r="A29" s="16" t="s">
        <v>32</v>
      </c>
      <c r="B29" s="29">
        <v>2700</v>
      </c>
      <c r="C29" s="29">
        <v>225</v>
      </c>
      <c r="D29" s="115"/>
      <c r="E29" s="29"/>
      <c r="F29" s="29"/>
      <c r="G29" s="32"/>
      <c r="H29" s="19"/>
      <c r="I29" s="52"/>
      <c r="J29" s="29"/>
      <c r="K29" s="80"/>
      <c r="L29" s="80"/>
      <c r="M29" s="80"/>
      <c r="N29"/>
      <c r="O29"/>
      <c r="P29"/>
      <c r="Q29"/>
      <c r="R29"/>
      <c r="S29"/>
      <c r="T29"/>
      <c r="U29"/>
      <c r="V29"/>
      <c r="W29"/>
      <c r="X29"/>
      <c r="Y29"/>
    </row>
    <row r="30" spans="1:25" ht="17.100000000000001" customHeight="1" x14ac:dyDescent="0.2">
      <c r="A30" s="16" t="s">
        <v>33</v>
      </c>
      <c r="B30" s="29">
        <v>422787</v>
      </c>
      <c r="C30" s="29">
        <v>35232.25</v>
      </c>
      <c r="D30" s="115"/>
      <c r="E30" s="29"/>
      <c r="F30" s="29"/>
      <c r="G30" s="32"/>
      <c r="H30" s="19"/>
      <c r="I30" s="52"/>
      <c r="J30" s="29"/>
      <c r="K30" s="80"/>
      <c r="L30" s="80"/>
      <c r="M30" s="80"/>
      <c r="N30"/>
      <c r="O30"/>
      <c r="P30"/>
      <c r="Q30"/>
      <c r="R30"/>
      <c r="S30"/>
      <c r="T30"/>
      <c r="U30"/>
      <c r="V30"/>
      <c r="W30"/>
      <c r="X30"/>
      <c r="Y30"/>
    </row>
    <row r="31" spans="1:25" ht="17.100000000000001" customHeight="1" x14ac:dyDescent="0.2">
      <c r="A31" s="16" t="s">
        <v>34</v>
      </c>
      <c r="B31" s="29">
        <v>677062.02999999991</v>
      </c>
      <c r="C31" s="29">
        <v>56421.835833333324</v>
      </c>
      <c r="D31" s="115"/>
      <c r="E31" s="29"/>
      <c r="F31" s="29"/>
      <c r="G31" s="32"/>
      <c r="H31" s="19"/>
      <c r="I31" s="52"/>
      <c r="J31" s="29"/>
      <c r="K31" s="80"/>
      <c r="L31" s="80"/>
      <c r="M31" s="80"/>
      <c r="N31"/>
      <c r="O31"/>
      <c r="P31"/>
      <c r="Q31"/>
      <c r="R31"/>
      <c r="S31"/>
      <c r="T31"/>
      <c r="U31"/>
      <c r="V31"/>
      <c r="W31"/>
      <c r="X31"/>
      <c r="Y31"/>
    </row>
    <row r="32" spans="1:25" ht="17.100000000000001" customHeight="1" x14ac:dyDescent="0.2">
      <c r="A32" s="16" t="s">
        <v>35</v>
      </c>
      <c r="B32" s="29">
        <v>3750</v>
      </c>
      <c r="C32" s="29">
        <v>312.5</v>
      </c>
      <c r="D32" s="115"/>
      <c r="E32" s="29"/>
      <c r="F32" s="29"/>
      <c r="G32" s="32"/>
      <c r="H32" s="19"/>
      <c r="I32" s="52"/>
      <c r="J32" s="29"/>
      <c r="K32" s="80"/>
      <c r="L32" s="80"/>
      <c r="M32" s="80"/>
      <c r="N32"/>
      <c r="O32"/>
      <c r="P32"/>
      <c r="Q32"/>
      <c r="R32"/>
      <c r="S32"/>
      <c r="T32"/>
      <c r="U32"/>
      <c r="V32"/>
      <c r="W32"/>
      <c r="X32"/>
      <c r="Y32"/>
    </row>
    <row r="33" spans="1:25" ht="17.100000000000001" customHeight="1" x14ac:dyDescent="0.2">
      <c r="A33" s="16" t="s">
        <v>36</v>
      </c>
      <c r="B33" s="29">
        <v>17167.26999999999</v>
      </c>
      <c r="C33" s="29">
        <v>1430.6058333333324</v>
      </c>
      <c r="D33" s="115"/>
      <c r="E33" s="29"/>
      <c r="F33" s="29"/>
      <c r="G33" s="32"/>
      <c r="H33" s="19"/>
      <c r="I33" s="52"/>
      <c r="J33" s="29"/>
      <c r="K33" s="80"/>
      <c r="L33" s="80"/>
      <c r="M33" s="80"/>
      <c r="N33"/>
      <c r="O33"/>
      <c r="P33"/>
      <c r="Q33"/>
      <c r="R33"/>
      <c r="S33"/>
      <c r="T33"/>
      <c r="U33"/>
      <c r="V33"/>
      <c r="W33"/>
      <c r="X33"/>
      <c r="Y33"/>
    </row>
    <row r="34" spans="1:25" ht="17.100000000000001" customHeight="1" x14ac:dyDescent="0.2">
      <c r="A34" s="16" t="s">
        <v>37</v>
      </c>
      <c r="B34" s="29">
        <v>43262</v>
      </c>
      <c r="C34" s="29">
        <v>3605.1666666666665</v>
      </c>
      <c r="D34" s="115"/>
      <c r="E34" s="29"/>
      <c r="F34" s="29"/>
      <c r="G34" s="32"/>
      <c r="H34" s="19"/>
      <c r="I34" s="52"/>
      <c r="J34" s="29"/>
      <c r="K34" s="80"/>
      <c r="L34" s="80"/>
      <c r="M34" s="80"/>
      <c r="N34"/>
      <c r="O34"/>
      <c r="P34"/>
      <c r="Q34"/>
      <c r="R34"/>
      <c r="S34"/>
      <c r="T34"/>
      <c r="U34"/>
      <c r="V34"/>
      <c r="W34"/>
      <c r="X34"/>
      <c r="Y34"/>
    </row>
    <row r="35" spans="1:25" ht="17.100000000000001" customHeight="1" x14ac:dyDescent="0.2">
      <c r="A35" s="16" t="s">
        <v>38</v>
      </c>
      <c r="B35" s="29">
        <v>2400</v>
      </c>
      <c r="C35" s="29">
        <v>200</v>
      </c>
      <c r="D35" s="115"/>
      <c r="E35" s="29"/>
      <c r="F35" s="29"/>
      <c r="G35" s="32"/>
      <c r="H35" s="19"/>
      <c r="I35" s="52"/>
      <c r="J35" s="29"/>
      <c r="K35" s="80"/>
      <c r="L35" s="80"/>
      <c r="M35" s="80"/>
      <c r="N35"/>
      <c r="O35"/>
      <c r="P35"/>
      <c r="Q35"/>
      <c r="R35"/>
      <c r="S35"/>
      <c r="T35"/>
      <c r="U35"/>
      <c r="V35"/>
      <c r="W35"/>
      <c r="X35"/>
      <c r="Y35"/>
    </row>
    <row r="36" spans="1:25" ht="17.100000000000001" customHeight="1" x14ac:dyDescent="0.2">
      <c r="A36" s="16" t="s">
        <v>39</v>
      </c>
      <c r="B36" s="29">
        <v>1062713.07</v>
      </c>
      <c r="C36" s="29">
        <v>88559.422500000001</v>
      </c>
      <c r="D36" s="115"/>
      <c r="E36" s="29"/>
      <c r="F36" s="29"/>
      <c r="G36" s="32"/>
      <c r="H36" s="19"/>
      <c r="I36" s="52"/>
      <c r="J36" s="29"/>
      <c r="K36" s="80"/>
      <c r="L36" s="80"/>
      <c r="M36" s="80"/>
      <c r="N36"/>
      <c r="O36"/>
      <c r="P36"/>
      <c r="Q36"/>
      <c r="R36"/>
      <c r="S36"/>
      <c r="T36"/>
      <c r="U36"/>
      <c r="V36"/>
      <c r="W36"/>
      <c r="X36"/>
      <c r="Y36"/>
    </row>
    <row r="37" spans="1:25" ht="17.100000000000001" customHeight="1" x14ac:dyDescent="0.2">
      <c r="A37" s="16" t="s">
        <v>40</v>
      </c>
      <c r="B37" s="29">
        <v>700</v>
      </c>
      <c r="C37" s="29">
        <v>58.333333333333336</v>
      </c>
      <c r="D37" s="115"/>
      <c r="E37" s="29"/>
      <c r="F37" s="29"/>
      <c r="G37" s="32"/>
      <c r="H37" s="19"/>
      <c r="I37" s="52"/>
      <c r="J37" s="29"/>
      <c r="K37" s="80"/>
      <c r="L37" s="80"/>
      <c r="M37" s="80"/>
      <c r="N37"/>
      <c r="O37"/>
      <c r="P37"/>
      <c r="Q37"/>
      <c r="R37"/>
      <c r="S37"/>
      <c r="T37"/>
      <c r="U37"/>
      <c r="V37"/>
      <c r="W37"/>
      <c r="X37"/>
      <c r="Y37"/>
    </row>
    <row r="38" spans="1:25" ht="17.100000000000001" customHeight="1" x14ac:dyDescent="0.2">
      <c r="A38" s="16" t="s">
        <v>41</v>
      </c>
      <c r="B38" s="29">
        <v>44853</v>
      </c>
      <c r="C38" s="29">
        <v>3737.75</v>
      </c>
      <c r="D38" s="115"/>
      <c r="E38" s="29"/>
      <c r="F38" s="29"/>
      <c r="G38" s="32"/>
      <c r="H38" s="19"/>
      <c r="I38" s="52"/>
      <c r="J38" s="29"/>
      <c r="K38" s="80"/>
      <c r="L38" s="80"/>
      <c r="M38" s="80"/>
      <c r="N38"/>
      <c r="O38"/>
      <c r="P38"/>
      <c r="Q38"/>
      <c r="R38"/>
      <c r="S38"/>
      <c r="T38"/>
      <c r="U38"/>
      <c r="V38"/>
      <c r="W38"/>
      <c r="X38"/>
      <c r="Y38"/>
    </row>
    <row r="39" spans="1:25" ht="17.100000000000001" customHeight="1" x14ac:dyDescent="0.2">
      <c r="A39" s="16" t="s">
        <v>42</v>
      </c>
      <c r="B39" s="29">
        <v>51467.709999999992</v>
      </c>
      <c r="C39" s="29">
        <v>4288.975833333333</v>
      </c>
      <c r="D39" s="115"/>
      <c r="E39" s="29"/>
      <c r="F39" s="29"/>
      <c r="G39" s="32"/>
      <c r="H39" s="19"/>
      <c r="I39" s="52"/>
      <c r="J39" s="29"/>
      <c r="K39" s="80"/>
      <c r="L39" s="80"/>
      <c r="M39" s="80"/>
      <c r="N39"/>
      <c r="O39"/>
      <c r="P39"/>
      <c r="Q39"/>
      <c r="R39"/>
      <c r="S39"/>
      <c r="T39"/>
      <c r="U39"/>
      <c r="V39"/>
      <c r="W39"/>
      <c r="X39"/>
      <c r="Y39"/>
    </row>
    <row r="40" spans="1:25" ht="17.100000000000001" customHeight="1" x14ac:dyDescent="0.2">
      <c r="A40" s="16" t="s">
        <v>43</v>
      </c>
      <c r="B40" s="29">
        <v>160231</v>
      </c>
      <c r="C40" s="29">
        <v>13352.583333333334</v>
      </c>
      <c r="D40" s="115"/>
      <c r="E40" s="29"/>
      <c r="F40" s="29"/>
      <c r="G40" s="32"/>
      <c r="H40" s="19"/>
      <c r="I40" s="52"/>
      <c r="J40" s="29"/>
      <c r="K40" s="80"/>
      <c r="L40" s="80"/>
      <c r="M40" s="80"/>
      <c r="N40"/>
      <c r="O40"/>
      <c r="P40"/>
      <c r="Q40"/>
      <c r="R40"/>
      <c r="S40"/>
      <c r="T40"/>
      <c r="U40"/>
      <c r="V40"/>
      <c r="W40"/>
      <c r="X40"/>
      <c r="Y40"/>
    </row>
    <row r="41" spans="1:25" ht="17.100000000000001" customHeight="1" x14ac:dyDescent="0.2">
      <c r="A41" s="16" t="s">
        <v>44</v>
      </c>
      <c r="B41" s="29">
        <v>14250</v>
      </c>
      <c r="C41" s="29">
        <v>1187.5</v>
      </c>
      <c r="D41" s="115"/>
      <c r="E41" s="29"/>
      <c r="F41" s="29"/>
      <c r="G41" s="32"/>
      <c r="H41" s="19"/>
      <c r="I41" s="52"/>
      <c r="J41" s="29"/>
      <c r="K41" s="80"/>
      <c r="L41" s="80"/>
      <c r="M41" s="80"/>
      <c r="N41"/>
      <c r="O41"/>
      <c r="P41"/>
      <c r="Q41"/>
      <c r="R41"/>
      <c r="S41"/>
      <c r="T41"/>
      <c r="U41"/>
      <c r="V41"/>
      <c r="W41"/>
      <c r="X41"/>
      <c r="Y41"/>
    </row>
    <row r="42" spans="1:25" ht="17.100000000000001" customHeight="1" x14ac:dyDescent="0.2">
      <c r="A42" s="16" t="s">
        <v>45</v>
      </c>
      <c r="B42" s="29">
        <v>1141624.17</v>
      </c>
      <c r="C42" s="29">
        <v>95135.347499999989</v>
      </c>
      <c r="D42" s="115"/>
      <c r="E42" s="29"/>
      <c r="F42" s="29"/>
      <c r="G42" s="32"/>
      <c r="H42" s="19"/>
      <c r="I42" s="52"/>
      <c r="J42" s="29"/>
      <c r="K42" s="80"/>
      <c r="L42" s="80"/>
      <c r="M42" s="80"/>
      <c r="N42"/>
      <c r="O42"/>
      <c r="P42"/>
      <c r="Q42"/>
      <c r="R42"/>
      <c r="S42"/>
      <c r="T42"/>
      <c r="U42"/>
      <c r="V42"/>
      <c r="W42"/>
      <c r="X42"/>
      <c r="Y42"/>
    </row>
    <row r="43" spans="1:25" ht="17.100000000000001" customHeight="1" x14ac:dyDescent="0.2">
      <c r="A43" s="16" t="s">
        <v>46</v>
      </c>
      <c r="B43" s="29">
        <v>700</v>
      </c>
      <c r="C43" s="29">
        <v>58.333333333333336</v>
      </c>
      <c r="D43" s="115"/>
      <c r="E43" s="29"/>
      <c r="F43" s="29"/>
      <c r="G43" s="32"/>
      <c r="H43" s="19"/>
      <c r="I43" s="52"/>
      <c r="J43" s="29"/>
      <c r="K43" s="80"/>
      <c r="L43" s="80"/>
      <c r="M43" s="80"/>
      <c r="N43"/>
      <c r="O43"/>
      <c r="P43"/>
      <c r="Q43"/>
      <c r="R43"/>
      <c r="S43"/>
      <c r="T43"/>
      <c r="U43"/>
      <c r="V43"/>
      <c r="W43"/>
      <c r="X43"/>
      <c r="Y43"/>
    </row>
    <row r="44" spans="1:25" ht="17.100000000000001" customHeight="1" x14ac:dyDescent="0.2">
      <c r="A44" s="33" t="s">
        <v>47</v>
      </c>
      <c r="B44" s="34">
        <v>103093</v>
      </c>
      <c r="C44" s="34">
        <v>8591.0833333333339</v>
      </c>
      <c r="D44" s="115"/>
      <c r="E44" s="29"/>
      <c r="F44" s="29"/>
      <c r="G44" s="32"/>
      <c r="H44" s="19"/>
      <c r="I44" s="52"/>
      <c r="J44" s="29"/>
      <c r="K44" s="80"/>
      <c r="L44" s="80"/>
      <c r="M44" s="80"/>
      <c r="N44"/>
      <c r="O44"/>
      <c r="P44"/>
      <c r="Q44"/>
      <c r="R44"/>
      <c r="S44"/>
      <c r="T44"/>
      <c r="U44"/>
      <c r="V44"/>
      <c r="W44"/>
      <c r="X44"/>
      <c r="Y44"/>
    </row>
    <row r="45" spans="1:25" ht="17.100000000000001" customHeight="1" x14ac:dyDescent="0.2">
      <c r="A45" s="56" t="s">
        <v>48</v>
      </c>
      <c r="B45" s="29">
        <f>SUM(B23:B44)</f>
        <v>4722347.92</v>
      </c>
      <c r="C45" s="29">
        <f>SUM(C23:C44)</f>
        <v>393528.99333333323</v>
      </c>
      <c r="D45" s="115"/>
      <c r="E45" s="29"/>
      <c r="F45" s="29"/>
      <c r="G45" s="32"/>
      <c r="H45" s="32"/>
      <c r="I45" s="53"/>
      <c r="J45" s="29"/>
      <c r="K45" s="80"/>
      <c r="L45" s="80"/>
      <c r="M45" s="80"/>
      <c r="N45"/>
      <c r="O45"/>
      <c r="P45"/>
      <c r="Q45"/>
      <c r="R45"/>
      <c r="S45"/>
      <c r="T45"/>
      <c r="U45"/>
      <c r="V45"/>
      <c r="W45"/>
      <c r="X45"/>
      <c r="Y45"/>
    </row>
    <row r="46" spans="1:25" ht="17.100000000000001" customHeight="1" x14ac:dyDescent="0.2">
      <c r="A46" s="56"/>
      <c r="B46" s="31"/>
      <c r="C46" s="31"/>
      <c r="D46" s="31"/>
      <c r="E46" s="31"/>
      <c r="F46" s="31"/>
      <c r="G46" s="31"/>
      <c r="H46" s="31"/>
      <c r="I46" s="31"/>
      <c r="J46" s="31"/>
      <c r="K46" s="29"/>
      <c r="L46" s="21"/>
      <c r="M46" s="21"/>
      <c r="N46" s="29"/>
      <c r="O46" s="29"/>
      <c r="P46" s="115"/>
      <c r="Q46" s="29"/>
      <c r="R46" s="29"/>
      <c r="S46" s="35"/>
      <c r="T46" s="36"/>
      <c r="U46" s="53"/>
      <c r="V46" s="29"/>
      <c r="W46" s="80"/>
      <c r="X46" s="80"/>
      <c r="Y46" s="80"/>
    </row>
    <row r="47" spans="1:25" ht="17.100000000000001" customHeight="1" x14ac:dyDescent="0.2">
      <c r="A47" s="22"/>
      <c r="B47" s="37"/>
      <c r="C47" s="37"/>
      <c r="D47" s="37"/>
      <c r="E47" s="37"/>
      <c r="F47" s="37"/>
      <c r="G47" s="37"/>
      <c r="H47" s="37"/>
      <c r="I47" s="37"/>
      <c r="J47" s="37"/>
      <c r="K47" s="22"/>
      <c r="L47" s="22"/>
      <c r="M47" s="22"/>
      <c r="N47" s="52"/>
      <c r="O47" s="22"/>
      <c r="P47" s="115"/>
      <c r="Q47" s="29"/>
      <c r="R47" s="29"/>
      <c r="S47" s="14"/>
      <c r="T47" s="22"/>
      <c r="U47" s="21"/>
      <c r="V47" s="21"/>
      <c r="W47" s="80"/>
      <c r="X47" s="80"/>
      <c r="Y47" s="80"/>
    </row>
    <row r="48" spans="1:25" ht="17.100000000000001" customHeight="1" x14ac:dyDescent="0.2">
      <c r="A48" s="22"/>
      <c r="B48" s="22"/>
      <c r="C48" s="28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37"/>
      <c r="O48" s="22"/>
      <c r="P48" s="115"/>
      <c r="Q48" s="29"/>
      <c r="R48" s="29"/>
      <c r="S48" s="14"/>
      <c r="T48" s="22"/>
      <c r="U48" s="21"/>
      <c r="V48" s="21"/>
      <c r="W48" s="80"/>
      <c r="X48" s="80"/>
      <c r="Y48" s="80"/>
    </row>
    <row r="49" spans="1:25" s="1" customFormat="1" ht="39.950000000000003" customHeight="1" x14ac:dyDescent="0.2">
      <c r="A49" s="38" t="s">
        <v>49</v>
      </c>
      <c r="B49" s="10" t="s">
        <v>101</v>
      </c>
      <c r="C49" s="57" t="s">
        <v>139</v>
      </c>
      <c r="D49" s="10" t="s">
        <v>145</v>
      </c>
      <c r="E49" s="9"/>
      <c r="F49" s="47"/>
      <c r="G49" s="43"/>
      <c r="H49" s="43"/>
      <c r="I49" s="43"/>
      <c r="J49" s="43"/>
      <c r="K49" s="81"/>
      <c r="L49" s="81"/>
      <c r="M49" s="81"/>
    </row>
    <row r="50" spans="1:25" ht="17.100000000000001" customHeight="1" x14ac:dyDescent="0.2">
      <c r="A50" s="39" t="s">
        <v>50</v>
      </c>
      <c r="B50" s="50">
        <v>10759.32</v>
      </c>
      <c r="C50" s="29">
        <v>896.61</v>
      </c>
      <c r="D50" s="127">
        <v>1.7195710554253562E-3</v>
      </c>
      <c r="E50" s="29"/>
      <c r="F50" s="29"/>
      <c r="G50" s="32"/>
      <c r="H50" s="32"/>
      <c r="I50" s="29"/>
      <c r="J50" s="8"/>
      <c r="K50" s="80"/>
      <c r="L50" s="80"/>
      <c r="M50" s="80"/>
      <c r="N50"/>
      <c r="O50"/>
      <c r="P50"/>
      <c r="Q50"/>
      <c r="R50"/>
      <c r="S50"/>
      <c r="T50"/>
      <c r="U50"/>
      <c r="V50"/>
      <c r="W50"/>
      <c r="X50"/>
      <c r="Y50"/>
    </row>
    <row r="51" spans="1:25" ht="17.100000000000001" customHeight="1" x14ac:dyDescent="0.2">
      <c r="A51" s="27" t="s">
        <v>51</v>
      </c>
      <c r="B51" s="50">
        <v>2310.8299999999995</v>
      </c>
      <c r="C51" s="29">
        <v>192.56916666666663</v>
      </c>
      <c r="D51" s="127">
        <v>3.6932040147598312E-4</v>
      </c>
      <c r="E51" s="29"/>
      <c r="F51" s="29"/>
      <c r="G51" s="32"/>
      <c r="H51" s="32"/>
      <c r="I51" s="29"/>
      <c r="J51" s="8"/>
      <c r="K51" s="80"/>
      <c r="L51" s="80"/>
      <c r="M51" s="80"/>
      <c r="N51"/>
      <c r="O51"/>
      <c r="P51"/>
      <c r="Q51"/>
      <c r="R51"/>
      <c r="S51"/>
      <c r="T51"/>
      <c r="U51"/>
      <c r="V51"/>
      <c r="W51"/>
      <c r="X51"/>
      <c r="Y51"/>
    </row>
    <row r="52" spans="1:25" ht="17.100000000000001" customHeight="1" x14ac:dyDescent="0.2">
      <c r="A52" s="27" t="s">
        <v>52</v>
      </c>
      <c r="B52" s="50">
        <v>68000</v>
      </c>
      <c r="C52" s="29">
        <v>13600</v>
      </c>
      <c r="D52" s="127">
        <v>1.0867864490406848E-2</v>
      </c>
      <c r="E52" s="29"/>
      <c r="F52" s="29"/>
      <c r="G52" s="32"/>
      <c r="H52" s="32"/>
      <c r="I52" s="29"/>
      <c r="J52" s="8"/>
      <c r="K52" s="80"/>
      <c r="L52" s="80"/>
      <c r="M52" s="80"/>
      <c r="N52"/>
      <c r="O52"/>
      <c r="P52"/>
      <c r="Q52"/>
      <c r="R52"/>
      <c r="S52"/>
      <c r="T52"/>
      <c r="U52"/>
      <c r="V52"/>
      <c r="W52"/>
      <c r="X52"/>
      <c r="Y52"/>
    </row>
    <row r="53" spans="1:25" ht="17.100000000000001" customHeight="1" x14ac:dyDescent="0.2">
      <c r="A53" s="27" t="s">
        <v>53</v>
      </c>
      <c r="B53" s="50">
        <v>28178.97</v>
      </c>
      <c r="C53" s="29">
        <v>2348.2474999999999</v>
      </c>
      <c r="D53" s="127">
        <v>4.5036062858711751E-3</v>
      </c>
      <c r="E53" s="29"/>
      <c r="F53" s="29"/>
      <c r="G53" s="32"/>
      <c r="H53" s="32"/>
      <c r="I53" s="29"/>
      <c r="J53" s="8"/>
      <c r="K53" s="80"/>
      <c r="L53" s="80"/>
      <c r="M53" s="80"/>
      <c r="N53"/>
      <c r="O53"/>
      <c r="P53"/>
      <c r="Q53"/>
      <c r="R53"/>
      <c r="S53"/>
      <c r="T53"/>
      <c r="U53"/>
      <c r="V53"/>
      <c r="W53"/>
      <c r="X53"/>
      <c r="Y53"/>
    </row>
    <row r="54" spans="1:25" ht="17.100000000000001" customHeight="1" x14ac:dyDescent="0.2">
      <c r="A54" s="27" t="s">
        <v>54</v>
      </c>
      <c r="B54" s="50">
        <v>21030.880000000001</v>
      </c>
      <c r="C54" s="29">
        <v>1752.5733333333335</v>
      </c>
      <c r="D54" s="127">
        <v>3.3611875581471707E-3</v>
      </c>
      <c r="E54" s="29"/>
      <c r="F54" s="29"/>
      <c r="G54" s="32"/>
      <c r="H54" s="32"/>
      <c r="I54" s="29"/>
      <c r="J54" s="8"/>
      <c r="K54" s="80"/>
      <c r="L54" s="80"/>
      <c r="M54" s="80"/>
      <c r="N54"/>
      <c r="O54"/>
      <c r="P54"/>
      <c r="Q54"/>
      <c r="R54"/>
      <c r="S54"/>
      <c r="T54"/>
      <c r="U54"/>
      <c r="V54"/>
      <c r="W54"/>
      <c r="X54"/>
      <c r="Y54"/>
    </row>
    <row r="55" spans="1:25" ht="17.100000000000001" customHeight="1" x14ac:dyDescent="0.2">
      <c r="A55" s="27" t="s">
        <v>55</v>
      </c>
      <c r="B55" s="50">
        <v>358.00000000000028</v>
      </c>
      <c r="C55" s="29">
        <v>29.833333333333357</v>
      </c>
      <c r="D55" s="127">
        <v>5.7216110111259638E-5</v>
      </c>
      <c r="E55" s="29"/>
      <c r="F55" s="29"/>
      <c r="G55" s="32"/>
      <c r="H55" s="32"/>
      <c r="I55" s="29"/>
      <c r="J55" s="8"/>
      <c r="K55" s="80"/>
      <c r="L55" s="80"/>
      <c r="M55" s="80"/>
      <c r="N55"/>
      <c r="O55"/>
      <c r="P55"/>
      <c r="Q55"/>
      <c r="R55"/>
      <c r="S55"/>
      <c r="T55"/>
      <c r="U55"/>
      <c r="V55"/>
      <c r="W55"/>
      <c r="X55"/>
      <c r="Y55"/>
    </row>
    <row r="56" spans="1:25" ht="17.100000000000001" customHeight="1" x14ac:dyDescent="0.2">
      <c r="A56" s="39" t="s">
        <v>56</v>
      </c>
      <c r="B56" s="50">
        <v>126.32</v>
      </c>
      <c r="C56" s="29">
        <v>10.526666666666666</v>
      </c>
      <c r="D56" s="127">
        <v>2.0188656506296958E-5</v>
      </c>
      <c r="E56" s="29"/>
      <c r="F56" s="29"/>
      <c r="G56" s="32"/>
      <c r="H56" s="32"/>
      <c r="I56" s="29"/>
      <c r="J56" s="8"/>
      <c r="K56" s="80"/>
      <c r="L56" s="80"/>
      <c r="M56" s="80"/>
      <c r="N56"/>
      <c r="O56"/>
      <c r="P56"/>
      <c r="Q56"/>
      <c r="R56"/>
      <c r="S56"/>
      <c r="T56"/>
      <c r="U56"/>
      <c r="V56"/>
      <c r="W56"/>
      <c r="X56"/>
      <c r="Y56"/>
    </row>
    <row r="57" spans="1:25" ht="17.100000000000001" customHeight="1" x14ac:dyDescent="0.2">
      <c r="A57" s="27" t="s">
        <v>57</v>
      </c>
      <c r="B57" s="50">
        <v>17971.650000000001</v>
      </c>
      <c r="C57" s="29">
        <v>1497.6375</v>
      </c>
      <c r="D57" s="127">
        <v>2.8722567186620627E-3</v>
      </c>
      <c r="E57" s="29"/>
      <c r="F57" s="29"/>
      <c r="G57" s="32"/>
      <c r="H57" s="32"/>
      <c r="I57" s="29"/>
      <c r="J57" s="8"/>
      <c r="K57" s="80"/>
      <c r="L57" s="80"/>
      <c r="M57" s="80"/>
      <c r="N57"/>
      <c r="O57"/>
      <c r="P57"/>
      <c r="Q57"/>
      <c r="R57"/>
      <c r="S57"/>
      <c r="T57"/>
      <c r="U57"/>
      <c r="V57"/>
      <c r="W57"/>
      <c r="X57"/>
      <c r="Y57"/>
    </row>
    <row r="58" spans="1:25" ht="17.100000000000001" customHeight="1" x14ac:dyDescent="0.2">
      <c r="A58" s="27" t="s">
        <v>58</v>
      </c>
      <c r="B58" s="50">
        <v>69571.399999999994</v>
      </c>
      <c r="C58" s="29">
        <v>5797.6166666666659</v>
      </c>
      <c r="D58" s="127">
        <v>1.1119008053057221E-2</v>
      </c>
      <c r="E58" s="29"/>
      <c r="F58" s="29"/>
      <c r="G58" s="32"/>
      <c r="H58" s="32"/>
      <c r="I58" s="29"/>
      <c r="J58" s="8"/>
      <c r="K58" s="80"/>
      <c r="L58" s="80"/>
      <c r="M58" s="80"/>
      <c r="N58"/>
      <c r="O58"/>
      <c r="P58"/>
      <c r="Q58"/>
      <c r="R58"/>
      <c r="S58"/>
      <c r="T58"/>
      <c r="U58"/>
      <c r="V58"/>
      <c r="W58"/>
      <c r="X58"/>
      <c r="Y58"/>
    </row>
    <row r="59" spans="1:25" ht="17.100000000000001" customHeight="1" x14ac:dyDescent="0.2">
      <c r="A59" s="27" t="s">
        <v>59</v>
      </c>
      <c r="B59" s="50">
        <v>8374</v>
      </c>
      <c r="C59" s="29">
        <v>2791.3333333333335</v>
      </c>
      <c r="D59" s="127">
        <v>1.3383455476862788E-3</v>
      </c>
      <c r="E59" s="29"/>
      <c r="F59" s="29"/>
      <c r="G59" s="32"/>
      <c r="H59" s="32"/>
      <c r="I59" s="29"/>
      <c r="J59" s="8"/>
      <c r="K59" s="80"/>
      <c r="L59" s="80"/>
      <c r="M59" s="80"/>
      <c r="N59"/>
      <c r="O59"/>
      <c r="P59"/>
      <c r="Q59"/>
      <c r="R59"/>
      <c r="S59"/>
      <c r="T59"/>
      <c r="U59"/>
      <c r="V59"/>
      <c r="W59"/>
      <c r="X59"/>
      <c r="Y59"/>
    </row>
    <row r="60" spans="1:25" ht="17.100000000000001" customHeight="1" x14ac:dyDescent="0.2">
      <c r="A60" s="27" t="s">
        <v>60</v>
      </c>
      <c r="B60" s="50">
        <v>873290.53</v>
      </c>
      <c r="C60" s="29"/>
      <c r="D60" s="127">
        <v>0.13957063442346437</v>
      </c>
      <c r="E60" s="29"/>
      <c r="F60" s="29"/>
      <c r="G60" s="32"/>
      <c r="H60" s="32"/>
      <c r="I60" s="29"/>
      <c r="J60" s="8"/>
      <c r="K60" s="80"/>
      <c r="L60" s="80"/>
      <c r="M60" s="80"/>
      <c r="N60"/>
      <c r="O60"/>
      <c r="P60"/>
      <c r="Q60"/>
      <c r="R60"/>
      <c r="S60"/>
      <c r="T60"/>
      <c r="U60"/>
      <c r="V60"/>
      <c r="W60"/>
      <c r="X60"/>
      <c r="Y60"/>
    </row>
    <row r="61" spans="1:25" ht="17.100000000000001" customHeight="1" x14ac:dyDescent="0.2">
      <c r="A61" s="27" t="s">
        <v>61</v>
      </c>
      <c r="B61" s="50">
        <v>13224.35</v>
      </c>
      <c r="C61" s="29"/>
      <c r="D61" s="127">
        <v>2.1135359378487034E-3</v>
      </c>
      <c r="E61" s="29"/>
      <c r="F61" s="29"/>
      <c r="G61" s="32"/>
      <c r="H61" s="32"/>
      <c r="I61" s="29"/>
      <c r="J61" s="8"/>
      <c r="K61" s="80"/>
      <c r="L61" s="80"/>
      <c r="M61" s="80"/>
      <c r="N61"/>
      <c r="O61"/>
      <c r="P61"/>
      <c r="Q61"/>
      <c r="R61"/>
      <c r="S61"/>
      <c r="T61"/>
      <c r="U61"/>
      <c r="V61"/>
      <c r="W61"/>
      <c r="X61"/>
      <c r="Y61"/>
    </row>
    <row r="62" spans="1:25" ht="17.100000000000001" customHeight="1" x14ac:dyDescent="0.2">
      <c r="A62" s="27" t="s">
        <v>62</v>
      </c>
      <c r="B62" s="50">
        <v>8600</v>
      </c>
      <c r="C62" s="29">
        <v>716.66666666666663</v>
      </c>
      <c r="D62" s="127">
        <v>1.3744652149632192E-3</v>
      </c>
      <c r="E62" s="29"/>
      <c r="F62" s="29"/>
      <c r="G62" s="32"/>
      <c r="H62" s="32"/>
      <c r="I62" s="29"/>
      <c r="J62" s="8"/>
      <c r="K62" s="80"/>
      <c r="L62" s="80"/>
      <c r="M62" s="80"/>
      <c r="N62"/>
      <c r="O62"/>
      <c r="P62"/>
      <c r="Q62"/>
      <c r="R62"/>
      <c r="S62"/>
      <c r="T62"/>
      <c r="U62"/>
      <c r="V62"/>
      <c r="W62"/>
      <c r="X62"/>
      <c r="Y62"/>
    </row>
    <row r="63" spans="1:25" ht="17.100000000000001" customHeight="1" x14ac:dyDescent="0.2">
      <c r="A63" s="27" t="s">
        <v>63</v>
      </c>
      <c r="B63" s="50">
        <v>6011.19</v>
      </c>
      <c r="C63" s="29">
        <v>500.93249999999995</v>
      </c>
      <c r="D63" s="127">
        <v>9.607176227365992E-4</v>
      </c>
      <c r="E63" s="29"/>
      <c r="F63" s="29"/>
      <c r="G63" s="32"/>
      <c r="H63" s="32"/>
      <c r="I63" s="29"/>
      <c r="J63" s="8"/>
      <c r="K63" s="80"/>
      <c r="L63" s="80"/>
      <c r="M63" s="80"/>
      <c r="N63"/>
      <c r="O63"/>
      <c r="P63"/>
      <c r="Q63"/>
      <c r="R63"/>
      <c r="S63"/>
      <c r="T63"/>
      <c r="U63"/>
      <c r="V63"/>
      <c r="W63"/>
      <c r="X63"/>
      <c r="Y63"/>
    </row>
    <row r="64" spans="1:25" ht="17.100000000000001" customHeight="1" x14ac:dyDescent="0.2">
      <c r="A64" s="27" t="s">
        <v>64</v>
      </c>
      <c r="B64" s="50">
        <v>21292.829999999998</v>
      </c>
      <c r="C64" s="29">
        <v>1774.4024999999999</v>
      </c>
      <c r="D64" s="127">
        <v>3.40305280966573E-3</v>
      </c>
      <c r="E64" s="29"/>
      <c r="F64" s="29"/>
      <c r="G64" s="32"/>
      <c r="H64" s="32"/>
      <c r="I64" s="29"/>
      <c r="J64" s="8"/>
      <c r="K64" s="80"/>
      <c r="L64" s="80"/>
      <c r="M64" s="80"/>
      <c r="N64"/>
      <c r="O64"/>
      <c r="P64"/>
      <c r="Q64"/>
      <c r="R64"/>
      <c r="S64"/>
      <c r="T64"/>
      <c r="U64"/>
      <c r="V64"/>
      <c r="W64"/>
      <c r="X64"/>
      <c r="Y64"/>
    </row>
    <row r="65" spans="1:25" ht="17.100000000000001" customHeight="1" x14ac:dyDescent="0.2">
      <c r="A65" s="27" t="s">
        <v>65</v>
      </c>
      <c r="B65" s="50">
        <v>26590</v>
      </c>
      <c r="C65" s="29">
        <v>2215.8333333333335</v>
      </c>
      <c r="D65" s="127">
        <v>4.2496546588223251E-3</v>
      </c>
      <c r="E65" s="29"/>
      <c r="F65" s="29"/>
      <c r="G65" s="32"/>
      <c r="H65" s="32"/>
      <c r="I65" s="29"/>
      <c r="J65" s="8"/>
      <c r="K65" s="80"/>
      <c r="L65" s="80"/>
      <c r="M65" s="80"/>
      <c r="N65"/>
      <c r="O65"/>
      <c r="P65"/>
      <c r="Q65"/>
      <c r="R65"/>
      <c r="S65"/>
      <c r="T65"/>
      <c r="U65"/>
      <c r="V65"/>
      <c r="W65"/>
      <c r="X65"/>
      <c r="Y65"/>
    </row>
    <row r="66" spans="1:25" ht="17.100000000000001" customHeight="1" x14ac:dyDescent="0.2">
      <c r="A66" s="27" t="s">
        <v>66</v>
      </c>
      <c r="B66" s="50">
        <v>59700.3</v>
      </c>
      <c r="C66" s="29">
        <v>4975.0250000000005</v>
      </c>
      <c r="D66" s="127">
        <v>9.5413936828917072E-3</v>
      </c>
      <c r="E66" s="29"/>
      <c r="F66" s="29"/>
      <c r="G66" s="32"/>
      <c r="H66" s="32"/>
      <c r="I66" s="29"/>
      <c r="J66" s="8"/>
      <c r="K66" s="80"/>
      <c r="L66" s="80"/>
      <c r="M66" s="80"/>
      <c r="N66"/>
      <c r="O66"/>
      <c r="P66"/>
      <c r="Q66"/>
      <c r="R66"/>
      <c r="S66"/>
      <c r="T66"/>
      <c r="U66"/>
      <c r="V66"/>
      <c r="W66"/>
      <c r="X66"/>
      <c r="Y66"/>
    </row>
    <row r="67" spans="1:25" ht="17.100000000000001" customHeight="1" x14ac:dyDescent="0.2">
      <c r="A67" s="27" t="s">
        <v>67</v>
      </c>
      <c r="B67" s="50">
        <v>55429.729999999996</v>
      </c>
      <c r="C67" s="29">
        <v>4619.144166666666</v>
      </c>
      <c r="D67" s="127">
        <v>8.8588646232329298E-3</v>
      </c>
      <c r="E67" s="29"/>
      <c r="F67" s="29"/>
      <c r="G67" s="32"/>
      <c r="H67" s="32"/>
      <c r="I67" s="29"/>
      <c r="J67" s="8"/>
      <c r="K67" s="80"/>
      <c r="L67" s="80"/>
      <c r="M67" s="80"/>
      <c r="N67"/>
      <c r="O67"/>
      <c r="P67"/>
      <c r="Q67"/>
      <c r="R67"/>
      <c r="S67"/>
      <c r="T67"/>
      <c r="U67"/>
      <c r="V67"/>
      <c r="W67"/>
      <c r="X67"/>
      <c r="Y67"/>
    </row>
    <row r="68" spans="1:25" ht="17.100000000000001" customHeight="1" x14ac:dyDescent="0.2">
      <c r="A68" s="27" t="s">
        <v>68</v>
      </c>
      <c r="B68" s="50">
        <v>42839</v>
      </c>
      <c r="C68" s="29">
        <v>3569.9166666666665</v>
      </c>
      <c r="D68" s="127">
        <v>6.8465948074196911E-3</v>
      </c>
      <c r="E68" s="29"/>
      <c r="F68" s="29"/>
      <c r="G68" s="32"/>
      <c r="H68" s="32"/>
      <c r="I68" s="29"/>
      <c r="J68" s="8"/>
      <c r="K68" s="80"/>
      <c r="L68" s="80"/>
      <c r="M68" s="80"/>
      <c r="N68"/>
      <c r="O68"/>
      <c r="P68"/>
      <c r="Q68"/>
      <c r="R68"/>
      <c r="S68"/>
      <c r="T68"/>
      <c r="U68"/>
      <c r="V68"/>
      <c r="W68"/>
      <c r="X68"/>
      <c r="Y68"/>
    </row>
    <row r="69" spans="1:25" ht="17.100000000000001" customHeight="1" x14ac:dyDescent="0.2">
      <c r="A69" s="27" t="s">
        <v>69</v>
      </c>
      <c r="B69" s="50">
        <v>1669</v>
      </c>
      <c r="C69" s="29">
        <v>139.08333333333334</v>
      </c>
      <c r="D69" s="127">
        <v>2.6674214462483868E-4</v>
      </c>
      <c r="E69" s="29"/>
      <c r="F69" s="29"/>
      <c r="G69" s="32"/>
      <c r="H69" s="32"/>
      <c r="I69" s="29"/>
      <c r="J69" s="8"/>
      <c r="K69" s="80"/>
      <c r="L69" s="80"/>
      <c r="M69" s="80"/>
      <c r="N69"/>
      <c r="O69"/>
      <c r="P69"/>
      <c r="Q69"/>
      <c r="R69"/>
      <c r="S69"/>
      <c r="T69"/>
      <c r="U69"/>
      <c r="V69"/>
      <c r="W69"/>
      <c r="X69"/>
      <c r="Y69"/>
    </row>
    <row r="70" spans="1:25" ht="17.100000000000001" customHeight="1" x14ac:dyDescent="0.2">
      <c r="A70" s="27" t="s">
        <v>70</v>
      </c>
      <c r="B70" s="50">
        <v>20404.809999999994</v>
      </c>
      <c r="C70" s="29">
        <v>1700.4008333333329</v>
      </c>
      <c r="D70" s="127">
        <v>3.2611280887132133E-3</v>
      </c>
      <c r="E70" s="29"/>
      <c r="F70" s="29"/>
      <c r="G70" s="32"/>
      <c r="H70" s="32"/>
      <c r="I70" s="29"/>
      <c r="J70" s="8"/>
      <c r="K70" s="80"/>
      <c r="L70" s="80"/>
      <c r="M70" s="80"/>
      <c r="N70"/>
      <c r="O70"/>
      <c r="P70"/>
      <c r="Q70"/>
      <c r="R70"/>
      <c r="S70"/>
      <c r="T70"/>
      <c r="U70"/>
      <c r="V70"/>
      <c r="W70"/>
      <c r="X70"/>
      <c r="Y70"/>
    </row>
    <row r="71" spans="1:25" ht="17.100000000000001" customHeight="1" x14ac:dyDescent="0.2">
      <c r="A71" s="27" t="s">
        <v>71</v>
      </c>
      <c r="B71" s="50">
        <v>8482.5</v>
      </c>
      <c r="C71" s="29">
        <v>706.875</v>
      </c>
      <c r="D71" s="127">
        <v>1.3556861844099427E-3</v>
      </c>
      <c r="E71" s="29"/>
      <c r="F71" s="29"/>
      <c r="G71" s="32"/>
      <c r="H71" s="32"/>
      <c r="I71" s="29"/>
      <c r="J71" s="8"/>
      <c r="K71" s="80"/>
      <c r="L71" s="80"/>
      <c r="M71" s="80"/>
      <c r="N71"/>
      <c r="O71"/>
      <c r="P71"/>
      <c r="Q71"/>
      <c r="R71"/>
      <c r="S71"/>
      <c r="T71"/>
      <c r="U71"/>
      <c r="V71"/>
      <c r="W71"/>
      <c r="X71"/>
      <c r="Y71"/>
    </row>
    <row r="72" spans="1:25" ht="17.100000000000001" customHeight="1" x14ac:dyDescent="0.2">
      <c r="A72" s="27" t="s">
        <v>72</v>
      </c>
      <c r="B72" s="50">
        <v>429696</v>
      </c>
      <c r="C72" s="29">
        <v>35808</v>
      </c>
      <c r="D72" s="127">
        <v>6.8674675001027377E-2</v>
      </c>
      <c r="E72" s="29"/>
      <c r="F72" s="29"/>
      <c r="G72" s="32"/>
      <c r="H72" s="32"/>
      <c r="I72" s="29"/>
      <c r="J72" s="8"/>
      <c r="K72" s="80"/>
      <c r="L72" s="80"/>
      <c r="M72" s="80"/>
      <c r="N72"/>
      <c r="O72"/>
      <c r="P72"/>
      <c r="Q72"/>
      <c r="R72"/>
      <c r="S72"/>
      <c r="T72"/>
      <c r="U72"/>
      <c r="V72"/>
      <c r="W72"/>
      <c r="X72"/>
      <c r="Y72"/>
    </row>
    <row r="73" spans="1:25" ht="17.100000000000001" customHeight="1" x14ac:dyDescent="0.2">
      <c r="A73" s="27" t="s">
        <v>73</v>
      </c>
      <c r="B73" s="50">
        <v>22168.93</v>
      </c>
      <c r="C73" s="29">
        <v>1847.4108333333334</v>
      </c>
      <c r="D73" s="127">
        <v>3.5430724579016931E-3</v>
      </c>
      <c r="E73" s="29"/>
      <c r="F73" s="29"/>
      <c r="G73" s="32"/>
      <c r="H73" s="32"/>
      <c r="I73" s="29"/>
      <c r="J73" s="8"/>
      <c r="K73" s="80"/>
      <c r="L73" s="80"/>
      <c r="M73" s="80"/>
      <c r="N73"/>
      <c r="O73"/>
      <c r="P73"/>
      <c r="Q73"/>
      <c r="R73"/>
      <c r="S73"/>
      <c r="T73"/>
      <c r="U73"/>
      <c r="V73"/>
      <c r="W73"/>
      <c r="X73"/>
      <c r="Y73"/>
    </row>
    <row r="74" spans="1:25" ht="17.100000000000001" customHeight="1" x14ac:dyDescent="0.2">
      <c r="A74" s="27" t="s">
        <v>74</v>
      </c>
      <c r="B74" s="50">
        <v>16430.22</v>
      </c>
      <c r="C74" s="29">
        <v>1369.1850000000002</v>
      </c>
      <c r="D74" s="127">
        <v>2.6259030074643006E-3</v>
      </c>
      <c r="E74" s="29"/>
      <c r="F74" s="29"/>
      <c r="G74" s="32"/>
      <c r="H74" s="32"/>
      <c r="I74" s="29"/>
      <c r="J74" s="8"/>
      <c r="K74" s="80"/>
      <c r="L74" s="80"/>
      <c r="M74" s="80"/>
      <c r="N74"/>
      <c r="O74"/>
      <c r="P74"/>
      <c r="Q74"/>
      <c r="R74"/>
      <c r="S74"/>
      <c r="T74"/>
      <c r="U74"/>
      <c r="V74"/>
      <c r="W74"/>
      <c r="X74"/>
      <c r="Y74"/>
    </row>
    <row r="75" spans="1:25" ht="17.100000000000001" customHeight="1" x14ac:dyDescent="0.2">
      <c r="A75" s="27" t="s">
        <v>75</v>
      </c>
      <c r="B75" s="50">
        <v>76691.209999999992</v>
      </c>
      <c r="C75" s="29">
        <v>6390.934166666666</v>
      </c>
      <c r="D75" s="127">
        <v>1.2256907027725509E-2</v>
      </c>
      <c r="E75" s="29"/>
      <c r="F75" s="29"/>
      <c r="G75" s="32"/>
      <c r="H75" s="32"/>
      <c r="I75" s="29"/>
      <c r="J75" s="8"/>
      <c r="K75" s="80"/>
      <c r="L75" s="80"/>
      <c r="M75" s="80"/>
      <c r="N75"/>
      <c r="O75"/>
      <c r="P75"/>
      <c r="Q75"/>
      <c r="R75"/>
      <c r="S75"/>
      <c r="T75"/>
      <c r="U75"/>
      <c r="V75"/>
      <c r="W75"/>
      <c r="X75"/>
      <c r="Y75"/>
    </row>
    <row r="76" spans="1:25" ht="17.100000000000001" customHeight="1" x14ac:dyDescent="0.2">
      <c r="A76" s="27" t="s">
        <v>76</v>
      </c>
      <c r="B76" s="50">
        <v>127900.20000000001</v>
      </c>
      <c r="C76" s="29">
        <v>10658.35</v>
      </c>
      <c r="D76" s="127">
        <v>2.044120649846962E-2</v>
      </c>
      <c r="E76" s="29"/>
      <c r="F76" s="29"/>
      <c r="G76" s="32"/>
      <c r="H76" s="32"/>
      <c r="I76" s="29"/>
      <c r="J76" s="8"/>
      <c r="K76" s="80"/>
      <c r="L76" s="80"/>
      <c r="M76" s="80"/>
      <c r="N76"/>
      <c r="O76"/>
      <c r="P76"/>
      <c r="Q76"/>
      <c r="R76"/>
      <c r="S76"/>
      <c r="T76"/>
      <c r="U76"/>
      <c r="V76"/>
      <c r="W76"/>
      <c r="X76"/>
      <c r="Y76"/>
    </row>
    <row r="77" spans="1:25" ht="17.100000000000001" customHeight="1" x14ac:dyDescent="0.2">
      <c r="A77" s="27" t="s">
        <v>77</v>
      </c>
      <c r="B77" s="50">
        <v>29360.04</v>
      </c>
      <c r="C77" s="29">
        <v>2446.67</v>
      </c>
      <c r="D77" s="127">
        <v>4.6923667081312462E-3</v>
      </c>
      <c r="E77" s="29"/>
      <c r="F77" s="29"/>
      <c r="G77" s="32"/>
      <c r="H77" s="32"/>
      <c r="I77" s="29"/>
      <c r="J77" s="8"/>
      <c r="K77" s="80"/>
      <c r="L77" s="80"/>
      <c r="M77" s="80"/>
      <c r="N77"/>
      <c r="O77"/>
      <c r="P77"/>
      <c r="Q77"/>
      <c r="R77"/>
      <c r="S77"/>
      <c r="T77"/>
      <c r="U77"/>
      <c r="V77"/>
      <c r="W77"/>
      <c r="X77"/>
      <c r="Y77"/>
    </row>
    <row r="78" spans="1:25" ht="17.100000000000001" customHeight="1" x14ac:dyDescent="0.2">
      <c r="A78" s="27" t="s">
        <v>78</v>
      </c>
      <c r="B78" s="50">
        <v>21587.360000000001</v>
      </c>
      <c r="C78" s="29">
        <v>1798.9466666666667</v>
      </c>
      <c r="D78" s="127">
        <v>3.4501250468474882E-3</v>
      </c>
      <c r="E78" s="29"/>
      <c r="F78" s="29"/>
      <c r="G78" s="32"/>
      <c r="H78" s="32"/>
      <c r="I78" s="29"/>
      <c r="J78" s="8"/>
      <c r="K78" s="80"/>
      <c r="L78" s="80"/>
      <c r="M78" s="80"/>
      <c r="N78"/>
      <c r="O78"/>
      <c r="P78"/>
      <c r="Q78"/>
      <c r="R78"/>
      <c r="S78"/>
      <c r="T78"/>
      <c r="U78"/>
      <c r="V78"/>
      <c r="W78"/>
      <c r="X78"/>
      <c r="Y78"/>
    </row>
    <row r="79" spans="1:25" ht="17.100000000000001" customHeight="1" x14ac:dyDescent="0.2">
      <c r="A79" s="27" t="s">
        <v>79</v>
      </c>
      <c r="B79" s="50">
        <v>6713.99</v>
      </c>
      <c r="C79" s="29">
        <v>559.49916666666661</v>
      </c>
      <c r="D79" s="127">
        <v>1.0730401986756865E-3</v>
      </c>
      <c r="E79" s="29"/>
      <c r="F79" s="29"/>
      <c r="G79" s="32"/>
      <c r="H79" s="32"/>
      <c r="I79" s="29"/>
      <c r="J79" s="8"/>
      <c r="K79" s="80"/>
      <c r="L79" s="80"/>
      <c r="M79" s="80"/>
      <c r="N79"/>
      <c r="O79"/>
      <c r="P79"/>
      <c r="Q79"/>
      <c r="R79"/>
      <c r="S79"/>
      <c r="T79"/>
      <c r="U79"/>
      <c r="V79"/>
      <c r="W79"/>
      <c r="X79"/>
      <c r="Y79"/>
    </row>
    <row r="80" spans="1:25" ht="17.100000000000001" customHeight="1" x14ac:dyDescent="0.2">
      <c r="A80" s="27" t="s">
        <v>80</v>
      </c>
      <c r="B80" s="50">
        <v>9028.17</v>
      </c>
      <c r="C80" s="29">
        <v>752.34749999999997</v>
      </c>
      <c r="D80" s="127">
        <v>1.442896002299359E-3</v>
      </c>
      <c r="E80" s="29"/>
      <c r="F80" s="29"/>
      <c r="G80" s="32"/>
      <c r="H80" s="32"/>
      <c r="I80" s="29"/>
      <c r="J80" s="8"/>
      <c r="K80" s="80"/>
      <c r="L80" s="80"/>
      <c r="M80" s="80"/>
      <c r="N80"/>
      <c r="O80"/>
      <c r="P80"/>
      <c r="Q80"/>
      <c r="R80"/>
      <c r="S80"/>
      <c r="T80"/>
      <c r="U80"/>
      <c r="V80"/>
      <c r="W80"/>
      <c r="X80"/>
      <c r="Y80"/>
    </row>
    <row r="81" spans="1:25" ht="17.100000000000001" customHeight="1" x14ac:dyDescent="0.2">
      <c r="A81" s="27" t="s">
        <v>81</v>
      </c>
      <c r="B81" s="50">
        <v>8133</v>
      </c>
      <c r="C81" s="29">
        <v>677.75</v>
      </c>
      <c r="D81" s="127">
        <v>1.299828557359984E-3</v>
      </c>
      <c r="E81" s="29"/>
      <c r="F81" s="29"/>
      <c r="G81" s="32"/>
      <c r="H81" s="32"/>
      <c r="I81" s="29"/>
      <c r="J81" s="8"/>
      <c r="K81" s="80"/>
      <c r="L81" s="80"/>
      <c r="M81" s="80"/>
      <c r="N81"/>
      <c r="O81"/>
      <c r="P81"/>
      <c r="Q81"/>
      <c r="R81"/>
      <c r="S81"/>
      <c r="T81"/>
      <c r="U81"/>
      <c r="V81"/>
      <c r="W81"/>
      <c r="X81"/>
      <c r="Y81"/>
    </row>
    <row r="82" spans="1:25" ht="17.100000000000001" customHeight="1" x14ac:dyDescent="0.2">
      <c r="A82" s="27" t="s">
        <v>82</v>
      </c>
      <c r="B82" s="50">
        <v>9262.5</v>
      </c>
      <c r="C82" s="29"/>
      <c r="D82" s="127">
        <v>1.4803469829763741E-3</v>
      </c>
      <c r="E82" s="29"/>
      <c r="F82" s="29"/>
      <c r="G82" s="32"/>
      <c r="H82" s="32"/>
      <c r="I82" s="29"/>
      <c r="J82" s="8"/>
      <c r="K82" s="80"/>
      <c r="L82" s="80"/>
      <c r="M82" s="80"/>
      <c r="N82"/>
      <c r="O82"/>
      <c r="P82"/>
      <c r="Q82"/>
      <c r="R82"/>
      <c r="S82"/>
      <c r="T82"/>
      <c r="U82"/>
      <c r="V82"/>
      <c r="W82"/>
      <c r="X82"/>
      <c r="Y82"/>
    </row>
    <row r="83" spans="1:25" ht="17.100000000000001" customHeight="1" x14ac:dyDescent="0.2">
      <c r="A83" s="27" t="s">
        <v>83</v>
      </c>
      <c r="B83" s="50">
        <v>51246.400000000001</v>
      </c>
      <c r="C83" s="29">
        <v>4270.5333333333338</v>
      </c>
      <c r="D83" s="127">
        <v>8.1902783944291999E-3</v>
      </c>
      <c r="E83" s="29"/>
      <c r="F83" s="29"/>
      <c r="G83" s="32"/>
      <c r="H83" s="32"/>
      <c r="I83" s="29"/>
      <c r="J83" s="8"/>
      <c r="K83" s="80"/>
      <c r="L83" s="80"/>
      <c r="M83" s="80"/>
      <c r="N83"/>
      <c r="O83"/>
      <c r="P83"/>
      <c r="Q83"/>
      <c r="R83"/>
      <c r="S83"/>
      <c r="T83"/>
      <c r="U83"/>
      <c r="V83"/>
      <c r="W83"/>
      <c r="X83"/>
      <c r="Y83"/>
    </row>
    <row r="84" spans="1:25" ht="17.100000000000001" customHeight="1" x14ac:dyDescent="0.2">
      <c r="A84" s="27" t="s">
        <v>84</v>
      </c>
      <c r="B84" s="50">
        <v>76825.450000000012</v>
      </c>
      <c r="C84" s="29">
        <v>6402.1208333333343</v>
      </c>
      <c r="D84" s="127">
        <v>1.2278361470801868E-2</v>
      </c>
      <c r="E84" s="29"/>
      <c r="F84" s="29"/>
      <c r="G84" s="32"/>
      <c r="H84" s="32"/>
      <c r="I84" s="29"/>
      <c r="J84" s="8"/>
      <c r="K84" s="80"/>
      <c r="L84" s="80"/>
      <c r="M84" s="80"/>
      <c r="N84"/>
      <c r="O84"/>
      <c r="P84"/>
      <c r="Q84"/>
      <c r="R84"/>
      <c r="S84"/>
      <c r="T84"/>
      <c r="U84"/>
      <c r="V84"/>
      <c r="W84"/>
      <c r="X84"/>
      <c r="Y84"/>
    </row>
    <row r="85" spans="1:25" ht="17.100000000000001" customHeight="1" x14ac:dyDescent="0.2">
      <c r="A85" s="27" t="s">
        <v>85</v>
      </c>
      <c r="B85" s="50">
        <v>16116.49</v>
      </c>
      <c r="C85" s="29">
        <v>1343.0408333333332</v>
      </c>
      <c r="D85" s="127">
        <v>2.5757621967793689E-3</v>
      </c>
      <c r="E85" s="29"/>
      <c r="F85" s="29"/>
      <c r="G85" s="32"/>
      <c r="H85" s="32"/>
      <c r="I85" s="29"/>
      <c r="J85" s="8"/>
      <c r="K85" s="80"/>
      <c r="L85" s="80"/>
      <c r="M85" s="80"/>
      <c r="N85"/>
      <c r="O85"/>
      <c r="P85"/>
      <c r="Q85"/>
      <c r="R85"/>
      <c r="S85"/>
      <c r="T85"/>
      <c r="U85"/>
      <c r="V85"/>
      <c r="W85"/>
      <c r="X85"/>
      <c r="Y85"/>
    </row>
    <row r="86" spans="1:25" ht="17.100000000000001" customHeight="1" x14ac:dyDescent="0.2">
      <c r="A86" s="27" t="s">
        <v>86</v>
      </c>
      <c r="B86" s="50">
        <v>775.04</v>
      </c>
      <c r="C86" s="29">
        <v>64.586666666666659</v>
      </c>
      <c r="D86" s="127">
        <v>1.238680837447783E-4</v>
      </c>
      <c r="E86" s="29"/>
      <c r="F86" s="29"/>
      <c r="G86" s="32"/>
      <c r="H86" s="32"/>
      <c r="I86" s="29"/>
      <c r="J86" s="8"/>
      <c r="K86" s="80"/>
      <c r="L86" s="80"/>
      <c r="M86" s="80"/>
      <c r="N86"/>
      <c r="O86"/>
      <c r="P86"/>
      <c r="Q86"/>
      <c r="R86"/>
      <c r="S86"/>
      <c r="T86"/>
      <c r="U86"/>
      <c r="V86"/>
      <c r="W86"/>
      <c r="X86"/>
      <c r="Y86"/>
    </row>
    <row r="87" spans="1:25" ht="17.100000000000001" customHeight="1" x14ac:dyDescent="0.2">
      <c r="A87" s="27" t="s">
        <v>87</v>
      </c>
      <c r="B87" s="50">
        <v>69761.5</v>
      </c>
      <c r="C87" s="29">
        <v>5813.458333333333</v>
      </c>
      <c r="D87" s="127">
        <v>1.1149390127169374E-2</v>
      </c>
      <c r="E87" s="29"/>
      <c r="F87" s="29"/>
      <c r="G87" s="32"/>
      <c r="H87" s="32"/>
      <c r="I87" s="29"/>
      <c r="J87" s="8"/>
      <c r="K87" s="80"/>
      <c r="L87" s="80"/>
      <c r="M87" s="80"/>
      <c r="N87"/>
      <c r="O87"/>
      <c r="P87"/>
      <c r="Q87"/>
      <c r="R87"/>
      <c r="S87"/>
      <c r="T87"/>
      <c r="U87"/>
      <c r="V87"/>
      <c r="W87"/>
      <c r="X87"/>
      <c r="Y87"/>
    </row>
    <row r="88" spans="1:25" ht="17.100000000000001" customHeight="1" x14ac:dyDescent="0.2">
      <c r="A88" s="27" t="s">
        <v>88</v>
      </c>
      <c r="B88" s="50">
        <v>51692.12999999999</v>
      </c>
      <c r="C88" s="29">
        <v>4307.6774999999989</v>
      </c>
      <c r="D88" s="127">
        <v>8.2615156479484489E-3</v>
      </c>
      <c r="E88" s="29"/>
      <c r="F88" s="29"/>
      <c r="G88" s="32"/>
      <c r="H88" s="32"/>
      <c r="I88" s="29"/>
      <c r="J88" s="8"/>
      <c r="K88" s="80"/>
      <c r="L88" s="80"/>
      <c r="M88" s="80"/>
      <c r="N88"/>
      <c r="O88"/>
      <c r="P88"/>
      <c r="Q88"/>
      <c r="R88"/>
      <c r="S88"/>
      <c r="T88"/>
      <c r="U88"/>
      <c r="V88"/>
      <c r="W88"/>
      <c r="X88"/>
      <c r="Y88"/>
    </row>
    <row r="89" spans="1:25" ht="17.100000000000001" customHeight="1" x14ac:dyDescent="0.2">
      <c r="A89" s="27" t="s">
        <v>89</v>
      </c>
      <c r="B89" s="50">
        <v>37901.050000000003</v>
      </c>
      <c r="C89" s="29">
        <v>3158.4208333333336</v>
      </c>
      <c r="D89" s="127">
        <v>6.0574040506490377E-3</v>
      </c>
      <c r="E89" s="29"/>
      <c r="F89" s="29"/>
      <c r="G89" s="32"/>
      <c r="H89" s="32"/>
      <c r="I89" s="29"/>
      <c r="J89" s="8"/>
      <c r="K89" s="80"/>
      <c r="L89" s="80"/>
      <c r="M89" s="80"/>
      <c r="N89"/>
      <c r="O89"/>
      <c r="P89"/>
      <c r="Q89"/>
      <c r="R89"/>
      <c r="S89"/>
      <c r="T89"/>
      <c r="U89"/>
      <c r="V89"/>
      <c r="W89"/>
      <c r="X89"/>
      <c r="Y89"/>
    </row>
    <row r="90" spans="1:25" ht="17.100000000000001" customHeight="1" x14ac:dyDescent="0.2">
      <c r="A90" s="27" t="s">
        <v>90</v>
      </c>
      <c r="B90" s="50">
        <v>167793.6</v>
      </c>
      <c r="C90" s="29">
        <v>13982.800000000001</v>
      </c>
      <c r="D90" s="127">
        <v>2.6817030987610745E-2</v>
      </c>
      <c r="E90" s="29"/>
      <c r="F90" s="29"/>
      <c r="G90" s="32"/>
      <c r="H90" s="32"/>
      <c r="I90" s="29"/>
      <c r="J90" s="8"/>
      <c r="K90" s="80"/>
      <c r="L90" s="80"/>
      <c r="M90" s="80"/>
      <c r="N90"/>
      <c r="O90"/>
      <c r="P90"/>
      <c r="Q90"/>
      <c r="R90"/>
      <c r="S90"/>
      <c r="T90"/>
      <c r="U90"/>
      <c r="V90"/>
      <c r="W90"/>
      <c r="X90"/>
      <c r="Y90"/>
    </row>
    <row r="91" spans="1:25" ht="17.100000000000001" customHeight="1" x14ac:dyDescent="0.2">
      <c r="A91" s="27" t="s">
        <v>91</v>
      </c>
      <c r="B91" s="50">
        <v>7599.21</v>
      </c>
      <c r="C91" s="29">
        <v>633.26750000000004</v>
      </c>
      <c r="D91" s="127">
        <v>1.2145174193256565E-3</v>
      </c>
      <c r="E91" s="29"/>
      <c r="F91" s="29"/>
      <c r="G91" s="32"/>
      <c r="H91" s="32"/>
      <c r="I91" s="29"/>
      <c r="J91" s="8"/>
      <c r="K91" s="80"/>
      <c r="L91" s="80"/>
      <c r="M91" s="80"/>
      <c r="N91"/>
      <c r="O91"/>
      <c r="P91"/>
      <c r="Q91"/>
      <c r="R91"/>
      <c r="S91"/>
      <c r="T91"/>
      <c r="U91"/>
      <c r="V91"/>
      <c r="W91"/>
      <c r="X91"/>
      <c r="Y91"/>
    </row>
    <row r="92" spans="1:25" ht="17.100000000000001" customHeight="1" x14ac:dyDescent="0.2">
      <c r="A92" s="27" t="s">
        <v>92</v>
      </c>
      <c r="B92" s="50">
        <v>16590.55</v>
      </c>
      <c r="C92" s="29">
        <v>1382.5458333333333</v>
      </c>
      <c r="D92" s="127">
        <v>2.6515271944311668E-3</v>
      </c>
      <c r="E92" s="29"/>
      <c r="F92" s="29"/>
      <c r="G92" s="32"/>
      <c r="H92" s="32"/>
      <c r="I92" s="29"/>
      <c r="J92" s="8"/>
      <c r="K92" s="80"/>
      <c r="L92" s="80"/>
      <c r="M92" s="80"/>
      <c r="N92"/>
      <c r="O92"/>
      <c r="P92"/>
      <c r="Q92"/>
      <c r="R92"/>
      <c r="S92"/>
      <c r="T92"/>
      <c r="U92"/>
      <c r="V92"/>
      <c r="W92"/>
      <c r="X92"/>
      <c r="Y92"/>
    </row>
    <row r="93" spans="1:25" ht="17.100000000000001" customHeight="1" x14ac:dyDescent="0.2">
      <c r="A93" s="27" t="s">
        <v>93</v>
      </c>
      <c r="B93" s="50">
        <v>10174.249999999998</v>
      </c>
      <c r="C93" s="29">
        <v>847.85416666666652</v>
      </c>
      <c r="D93" s="127">
        <v>1.6260642689929687E-3</v>
      </c>
      <c r="E93" s="29"/>
      <c r="F93" s="29"/>
      <c r="G93" s="32"/>
      <c r="H93" s="32"/>
      <c r="I93" s="29"/>
      <c r="J93" s="8"/>
      <c r="K93" s="80"/>
      <c r="L93" s="80"/>
      <c r="M93" s="80"/>
      <c r="N93"/>
      <c r="O93"/>
      <c r="P93"/>
      <c r="Q93"/>
      <c r="R93"/>
      <c r="S93"/>
      <c r="T93"/>
      <c r="U93"/>
      <c r="V93"/>
      <c r="W93"/>
      <c r="X93"/>
      <c r="Y93"/>
    </row>
    <row r="94" spans="1:25" ht="17.100000000000001" customHeight="1" x14ac:dyDescent="0.2">
      <c r="A94" s="16" t="s">
        <v>94</v>
      </c>
      <c r="B94" s="50">
        <v>32103.58</v>
      </c>
      <c r="C94" s="29">
        <v>2675.2983333333336</v>
      </c>
      <c r="D94" s="127">
        <v>5.1308434867196407E-3</v>
      </c>
      <c r="E94" s="29"/>
      <c r="F94" s="29"/>
      <c r="G94" s="32"/>
      <c r="H94" s="32"/>
      <c r="I94" s="29"/>
      <c r="J94" s="8"/>
      <c r="K94" s="80"/>
      <c r="L94" s="80"/>
      <c r="M94" s="80"/>
      <c r="N94"/>
      <c r="O94"/>
      <c r="P94"/>
      <c r="Q94"/>
      <c r="R94"/>
      <c r="S94"/>
      <c r="T94"/>
      <c r="U94"/>
      <c r="V94"/>
      <c r="W94"/>
      <c r="X94"/>
      <c r="Y94"/>
    </row>
    <row r="95" spans="1:25" ht="17.100000000000001" customHeight="1" x14ac:dyDescent="0.2">
      <c r="A95" s="27" t="s">
        <v>95</v>
      </c>
      <c r="B95" s="50">
        <v>17429.150000000001</v>
      </c>
      <c r="C95" s="29">
        <v>1452.4291666666668</v>
      </c>
      <c r="D95" s="127">
        <v>2.7855535350437433E-3</v>
      </c>
      <c r="E95" s="29"/>
      <c r="F95" s="29"/>
      <c r="G95" s="32"/>
      <c r="H95" s="32"/>
      <c r="I95" s="29"/>
      <c r="J95" s="8"/>
      <c r="K95" s="80"/>
      <c r="L95" s="80"/>
      <c r="M95" s="80"/>
      <c r="N95"/>
      <c r="O95"/>
      <c r="P95"/>
      <c r="Q95"/>
      <c r="R95"/>
      <c r="S95"/>
      <c r="T95"/>
      <c r="U95"/>
      <c r="V95"/>
      <c r="W95"/>
      <c r="X95"/>
      <c r="Y95"/>
    </row>
    <row r="96" spans="1:25" ht="17.100000000000001" customHeight="1" x14ac:dyDescent="0.2">
      <c r="A96" s="16" t="s">
        <v>96</v>
      </c>
      <c r="B96" s="50">
        <v>93580.840000000011</v>
      </c>
      <c r="C96" s="29">
        <v>7798.4033333333346</v>
      </c>
      <c r="D96" s="127">
        <v>1.4956233647330074E-2</v>
      </c>
      <c r="E96" s="29"/>
      <c r="F96" s="29"/>
      <c r="G96" s="32"/>
      <c r="H96" s="32"/>
      <c r="I96" s="29"/>
      <c r="J96" s="8"/>
      <c r="K96" s="80"/>
      <c r="L96" s="80"/>
      <c r="M96" s="80"/>
      <c r="N96"/>
      <c r="O96"/>
      <c r="P96"/>
      <c r="Q96"/>
      <c r="R96"/>
      <c r="S96"/>
      <c r="T96"/>
      <c r="U96"/>
      <c r="V96"/>
      <c r="W96"/>
      <c r="X96"/>
      <c r="Y96"/>
    </row>
    <row r="97" spans="1:25" ht="17.100000000000001" customHeight="1" x14ac:dyDescent="0.2">
      <c r="A97" s="16" t="s">
        <v>97</v>
      </c>
      <c r="B97" s="50">
        <v>192166.84999999998</v>
      </c>
      <c r="C97" s="29">
        <v>16013.904166666665</v>
      </c>
      <c r="D97" s="127">
        <v>3.0712401255122635E-2</v>
      </c>
      <c r="E97" s="29"/>
      <c r="F97" s="29"/>
      <c r="G97" s="32"/>
      <c r="H97" s="32"/>
      <c r="I97" s="29"/>
      <c r="J97" s="8"/>
      <c r="K97" s="80"/>
      <c r="L97" s="80"/>
      <c r="M97" s="80"/>
      <c r="N97"/>
      <c r="O97"/>
      <c r="P97"/>
      <c r="Q97"/>
      <c r="R97"/>
      <c r="S97"/>
      <c r="T97"/>
      <c r="U97"/>
      <c r="V97"/>
      <c r="W97"/>
      <c r="X97"/>
      <c r="Y97"/>
    </row>
    <row r="98" spans="1:25" ht="17.100000000000001" customHeight="1" x14ac:dyDescent="0.2">
      <c r="A98" s="27" t="s">
        <v>98</v>
      </c>
      <c r="B98" s="50">
        <v>2403.1900000000005</v>
      </c>
      <c r="C98" s="29">
        <v>200.26583333333338</v>
      </c>
      <c r="D98" s="127">
        <v>3.8408151859854181E-4</v>
      </c>
      <c r="E98" s="29"/>
      <c r="F98" s="29"/>
      <c r="G98" s="32"/>
      <c r="H98" s="32"/>
      <c r="I98" s="29"/>
      <c r="J98" s="8"/>
      <c r="K98" s="80"/>
      <c r="L98" s="80"/>
      <c r="M98" s="80"/>
      <c r="N98"/>
      <c r="O98"/>
      <c r="P98"/>
      <c r="Q98"/>
      <c r="R98"/>
      <c r="S98"/>
      <c r="T98"/>
      <c r="U98"/>
      <c r="V98"/>
      <c r="W98"/>
      <c r="X98"/>
      <c r="Y98"/>
    </row>
    <row r="99" spans="1:25" ht="17.100000000000001" customHeight="1" x14ac:dyDescent="0.2">
      <c r="A99" s="16" t="s">
        <v>99</v>
      </c>
      <c r="B99" s="50">
        <v>2201.4200000000005</v>
      </c>
      <c r="C99" s="29">
        <v>183.45166666666671</v>
      </c>
      <c r="D99" s="127">
        <v>3.5183432715399192E-4</v>
      </c>
      <c r="E99" s="29"/>
      <c r="F99" s="29"/>
      <c r="G99" s="32"/>
      <c r="H99" s="32"/>
      <c r="I99" s="29"/>
      <c r="J99" s="8"/>
      <c r="K99" s="80"/>
      <c r="L99" s="80"/>
      <c r="M99" s="80"/>
      <c r="N99"/>
      <c r="O99"/>
      <c r="P99"/>
      <c r="Q99"/>
      <c r="R99"/>
      <c r="S99"/>
      <c r="T99"/>
      <c r="U99"/>
      <c r="V99"/>
      <c r="W99"/>
      <c r="X99"/>
      <c r="Y99"/>
    </row>
    <row r="100" spans="1:25" ht="17.100000000000001" customHeight="1" x14ac:dyDescent="0.2">
      <c r="A100" s="33" t="s">
        <v>100</v>
      </c>
      <c r="B100" s="54">
        <v>10696.220000000001</v>
      </c>
      <c r="C100" s="34">
        <v>972.38363636363647</v>
      </c>
      <c r="D100" s="127">
        <v>1.7094863164644053E-3</v>
      </c>
      <c r="E100" s="29"/>
      <c r="F100" s="29"/>
      <c r="G100" s="32"/>
      <c r="H100" s="32"/>
      <c r="I100" s="29"/>
      <c r="J100" s="8"/>
      <c r="K100" s="80"/>
      <c r="L100" s="80"/>
      <c r="M100" s="80"/>
      <c r="N100"/>
      <c r="O100"/>
      <c r="P100"/>
      <c r="Q100"/>
      <c r="R100"/>
      <c r="S100"/>
      <c r="T100"/>
      <c r="U100"/>
      <c r="V100"/>
      <c r="W100"/>
      <c r="X100"/>
      <c r="Y100"/>
    </row>
    <row r="101" spans="1:25" ht="17.100000000000001" customHeight="1" x14ac:dyDescent="0.2">
      <c r="A101" s="14" t="s">
        <v>101</v>
      </c>
      <c r="B101" s="55">
        <f>SUM(B50:B100)</f>
        <v>2978244.15</v>
      </c>
      <c r="C101" s="40">
        <f>SUM(C50:C100)</f>
        <v>183646.76280303029</v>
      </c>
      <c r="D101" s="120"/>
      <c r="E101" s="40"/>
      <c r="F101" s="29"/>
      <c r="G101" s="32">
        <f>SUM(G50:G100)</f>
        <v>0</v>
      </c>
      <c r="H101" s="32">
        <f>SUM(H50:H100)</f>
        <v>0</v>
      </c>
      <c r="I101" s="29">
        <f>SUM(I50:I100)</f>
        <v>0</v>
      </c>
      <c r="J101" s="29">
        <f>SUM(J50:J100)</f>
        <v>0</v>
      </c>
      <c r="K101" s="80"/>
      <c r="L101" s="80"/>
      <c r="M101" s="80"/>
      <c r="N101"/>
      <c r="O101"/>
      <c r="P101"/>
      <c r="Q101"/>
      <c r="R101"/>
      <c r="S101"/>
      <c r="T101"/>
      <c r="U101"/>
      <c r="V101"/>
      <c r="W101"/>
      <c r="X101"/>
      <c r="Y101"/>
    </row>
    <row r="102" spans="1:25" ht="17.100000000000001" customHeight="1" x14ac:dyDescent="0.2">
      <c r="A102" s="14"/>
      <c r="B102" s="40"/>
      <c r="C102" s="40"/>
      <c r="D102" s="40"/>
      <c r="E102" s="40"/>
      <c r="F102" s="40"/>
      <c r="G102" s="40"/>
      <c r="H102" s="40"/>
      <c r="I102" s="40"/>
      <c r="J102" s="40"/>
      <c r="K102" s="29"/>
      <c r="L102" s="29"/>
      <c r="M102" s="29"/>
      <c r="N102" s="29"/>
      <c r="O102" s="29"/>
      <c r="P102" s="115"/>
      <c r="Q102" s="29"/>
      <c r="R102" s="29"/>
      <c r="S102" s="35"/>
      <c r="T102" s="22"/>
      <c r="U102" s="29"/>
      <c r="V102" s="29"/>
      <c r="W102" s="80"/>
      <c r="X102" s="80"/>
      <c r="Y102" s="80"/>
    </row>
    <row r="103" spans="1:25" s="22" customFormat="1" ht="17.100000000000001" customHeight="1" x14ac:dyDescent="0.2"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121"/>
      <c r="Q103" s="37"/>
      <c r="R103" s="29"/>
      <c r="S103" s="14"/>
      <c r="U103" s="21"/>
      <c r="V103" s="29"/>
      <c r="W103" s="80"/>
      <c r="X103" s="80"/>
      <c r="Y103" s="80"/>
    </row>
    <row r="104" spans="1:25" s="22" customFormat="1" ht="17.100000000000001" customHeight="1" x14ac:dyDescent="0.2">
      <c r="B104" s="42"/>
      <c r="C104" s="42"/>
      <c r="D104" s="42"/>
      <c r="E104" s="42"/>
      <c r="F104" s="42"/>
      <c r="G104" s="42"/>
      <c r="H104" s="42"/>
      <c r="I104" s="42"/>
      <c r="N104" s="37"/>
      <c r="P104" s="115"/>
      <c r="Q104" s="29"/>
      <c r="R104" s="29"/>
      <c r="S104" s="14"/>
      <c r="U104" s="21"/>
      <c r="V104" s="21"/>
      <c r="W104" s="80"/>
      <c r="X104" s="80"/>
      <c r="Y104" s="80"/>
    </row>
    <row r="105" spans="1:25" s="1" customFormat="1" ht="39.950000000000003" customHeight="1" x14ac:dyDescent="0.2">
      <c r="A105" s="38" t="s">
        <v>102</v>
      </c>
      <c r="B105" s="10" t="s">
        <v>146</v>
      </c>
      <c r="C105" s="10" t="s">
        <v>145</v>
      </c>
      <c r="D105" s="122"/>
      <c r="E105" s="9"/>
      <c r="F105" s="47"/>
      <c r="G105" s="43"/>
      <c r="H105" s="43"/>
      <c r="I105" s="43"/>
      <c r="J105" s="43"/>
      <c r="K105" s="81"/>
      <c r="L105" s="81"/>
      <c r="M105" s="81"/>
    </row>
    <row r="106" spans="1:25" s="1" customFormat="1" ht="17.100000000000001" customHeight="1" x14ac:dyDescent="0.25">
      <c r="A106" s="48" t="s">
        <v>103</v>
      </c>
      <c r="B106" s="19">
        <v>104703.29000000001</v>
      </c>
      <c r="C106" s="67">
        <f t="shared" ref="C106:C115" si="3">B106/$B$118</f>
        <v>1.6733840697349567E-2</v>
      </c>
      <c r="D106" s="123"/>
      <c r="E106" s="83"/>
      <c r="F106" s="47"/>
      <c r="G106" s="43"/>
      <c r="H106" s="43"/>
      <c r="I106" s="43"/>
      <c r="J106" s="43"/>
      <c r="K106" s="81"/>
      <c r="L106" s="81"/>
      <c r="M106" s="81"/>
    </row>
    <row r="107" spans="1:25" s="61" customFormat="1" ht="17.100000000000001" customHeight="1" x14ac:dyDescent="0.25">
      <c r="A107" s="61" t="s">
        <v>104</v>
      </c>
      <c r="B107" s="19">
        <v>3897.5</v>
      </c>
      <c r="C107" s="67">
        <f t="shared" si="3"/>
        <v>6.2290443899059851E-4</v>
      </c>
      <c r="D107" s="123"/>
      <c r="E107" s="29"/>
      <c r="F107" s="29"/>
      <c r="G107" s="62"/>
      <c r="H107" s="29"/>
      <c r="I107" s="29"/>
      <c r="J107" s="29"/>
      <c r="K107" s="80"/>
      <c r="L107" s="80"/>
      <c r="M107" s="80"/>
    </row>
    <row r="108" spans="1:25" s="61" customFormat="1" ht="17.100000000000001" customHeight="1" x14ac:dyDescent="0.25">
      <c r="A108" s="61" t="s">
        <v>105</v>
      </c>
      <c r="B108" s="19">
        <v>80922.91</v>
      </c>
      <c r="C108" s="67">
        <f t="shared" si="3"/>
        <v>1.2933223824255727E-2</v>
      </c>
      <c r="D108" s="123"/>
      <c r="E108" s="29"/>
      <c r="F108" s="29"/>
      <c r="G108" s="62"/>
      <c r="H108" s="29"/>
      <c r="I108" s="29"/>
      <c r="J108" s="29"/>
      <c r="K108" s="80"/>
      <c r="L108" s="80"/>
      <c r="M108" s="80"/>
    </row>
    <row r="109" spans="1:25" s="61" customFormat="1" ht="17.100000000000001" customHeight="1" x14ac:dyDescent="0.25">
      <c r="A109" s="61" t="s">
        <v>106</v>
      </c>
      <c r="B109" s="19">
        <v>207384.94999999998</v>
      </c>
      <c r="C109" s="67">
        <f t="shared" si="3"/>
        <v>3.3144581381614704E-2</v>
      </c>
      <c r="D109" s="123"/>
      <c r="E109" s="29"/>
      <c r="F109" s="29"/>
      <c r="G109" s="62"/>
      <c r="H109" s="29"/>
      <c r="I109" s="29"/>
      <c r="J109" s="29"/>
      <c r="K109" s="80"/>
      <c r="L109" s="80"/>
      <c r="M109" s="80"/>
    </row>
    <row r="110" spans="1:25" s="48" customFormat="1" ht="17.100000000000001" customHeight="1" x14ac:dyDescent="0.25">
      <c r="A110" s="48" t="s">
        <v>107</v>
      </c>
      <c r="B110" s="19">
        <v>7672.5</v>
      </c>
      <c r="C110" s="67">
        <f t="shared" si="3"/>
        <v>1.2262307397448021E-3</v>
      </c>
      <c r="D110" s="123"/>
      <c r="E110" s="29"/>
      <c r="F110" s="29"/>
      <c r="G110" s="62"/>
      <c r="H110" s="29"/>
      <c r="I110" s="29"/>
      <c r="J110" s="29"/>
      <c r="K110" s="80"/>
      <c r="L110" s="80"/>
      <c r="M110" s="80"/>
    </row>
    <row r="111" spans="1:25" s="48" customFormat="1" ht="17.100000000000001" customHeight="1" x14ac:dyDescent="0.25">
      <c r="A111" s="48" t="s">
        <v>108</v>
      </c>
      <c r="B111" s="19">
        <v>5433.5</v>
      </c>
      <c r="C111" s="67">
        <f t="shared" si="3"/>
        <v>8.6839031924449436E-4</v>
      </c>
      <c r="D111" s="123"/>
      <c r="E111" s="29"/>
      <c r="F111" s="29"/>
      <c r="G111" s="62"/>
      <c r="H111" s="29"/>
      <c r="I111" s="29"/>
      <c r="J111" s="29"/>
      <c r="K111" s="80"/>
      <c r="L111" s="80"/>
      <c r="M111" s="80"/>
    </row>
    <row r="112" spans="1:25" s="61" customFormat="1" ht="17.100000000000001" customHeight="1" x14ac:dyDescent="0.25">
      <c r="A112" s="87" t="s">
        <v>109</v>
      </c>
      <c r="B112" s="19">
        <v>4196.3999999999996</v>
      </c>
      <c r="C112" s="67">
        <f t="shared" si="3"/>
        <v>6.7067509628740147E-4</v>
      </c>
      <c r="D112" s="123"/>
      <c r="E112" s="29"/>
      <c r="F112" s="29"/>
      <c r="G112" s="62"/>
      <c r="H112" s="29"/>
      <c r="I112" s="29"/>
      <c r="J112" s="29"/>
      <c r="K112" s="80"/>
      <c r="L112" s="80"/>
      <c r="M112" s="80"/>
    </row>
    <row r="113" spans="1:26" s="61" customFormat="1" ht="17.100000000000001" customHeight="1" x14ac:dyDescent="0.25">
      <c r="A113" s="61" t="s">
        <v>110</v>
      </c>
      <c r="B113" s="19">
        <v>160770.65</v>
      </c>
      <c r="C113" s="67">
        <f t="shared" si="3"/>
        <v>2.569461232697982E-2</v>
      </c>
      <c r="D113" s="123"/>
      <c r="E113" s="29"/>
      <c r="F113" s="29"/>
      <c r="G113" s="62"/>
      <c r="H113" s="29"/>
      <c r="I113" s="29"/>
      <c r="J113" s="29"/>
      <c r="K113" s="80"/>
      <c r="L113" s="80"/>
      <c r="M113" s="80"/>
    </row>
    <row r="114" spans="1:26" s="61" customFormat="1" ht="17.100000000000001" customHeight="1" x14ac:dyDescent="0.25">
      <c r="A114" s="65" t="s">
        <v>111</v>
      </c>
      <c r="B114" s="19">
        <v>281194.77</v>
      </c>
      <c r="C114" s="67">
        <f t="shared" si="3"/>
        <v>4.4940980231928253E-2</v>
      </c>
      <c r="D114" s="123"/>
      <c r="E114" s="29"/>
      <c r="F114" s="29"/>
      <c r="G114" s="62"/>
      <c r="H114" s="29"/>
      <c r="I114" s="29"/>
      <c r="J114" s="29"/>
      <c r="K114" s="80"/>
      <c r="L114" s="80"/>
      <c r="M114" s="80"/>
    </row>
    <row r="115" spans="1:26" s="61" customFormat="1" ht="17.100000000000001" customHeight="1" x14ac:dyDescent="0.25">
      <c r="A115" s="128" t="s">
        <v>112</v>
      </c>
      <c r="B115" s="26">
        <v>2422558.3899999997</v>
      </c>
      <c r="C115" s="68">
        <f t="shared" si="3"/>
        <v>0.38717700445026743</v>
      </c>
      <c r="D115" s="123"/>
      <c r="E115" s="29"/>
      <c r="F115" s="29"/>
      <c r="G115" s="62"/>
      <c r="H115" s="29"/>
      <c r="I115" s="29"/>
      <c r="J115" s="29"/>
      <c r="K115" s="80"/>
      <c r="L115" s="80"/>
      <c r="M115" s="80"/>
    </row>
    <row r="116" spans="1:26" s="61" customFormat="1" ht="17.100000000000001" customHeight="1" x14ac:dyDescent="0.2">
      <c r="A116" s="60" t="s">
        <v>113</v>
      </c>
      <c r="B116" s="19">
        <f>SUM(B106:B115)</f>
        <v>3278734.86</v>
      </c>
      <c r="C116" s="19"/>
      <c r="D116" s="115"/>
      <c r="E116" s="29"/>
      <c r="F116" s="29"/>
      <c r="G116" s="62"/>
      <c r="H116" s="29"/>
      <c r="I116" s="29"/>
      <c r="J116" s="29"/>
      <c r="K116" s="80"/>
      <c r="L116" s="80"/>
      <c r="M116" s="80"/>
    </row>
    <row r="117" spans="1:26" s="61" customFormat="1" ht="17.100000000000001" customHeight="1" x14ac:dyDescent="0.2">
      <c r="A117" s="60"/>
      <c r="B117" s="19"/>
      <c r="C117" s="19"/>
      <c r="D117" s="115"/>
      <c r="E117" s="29"/>
      <c r="F117" s="29"/>
      <c r="G117" s="62"/>
      <c r="H117" s="29"/>
      <c r="I117" s="29"/>
      <c r="J117" s="29"/>
      <c r="K117" s="80"/>
      <c r="L117" s="80"/>
      <c r="M117" s="80"/>
    </row>
    <row r="118" spans="1:26" s="61" customFormat="1" ht="17.100000000000001" customHeight="1" x14ac:dyDescent="0.2">
      <c r="A118" s="60" t="s">
        <v>144</v>
      </c>
      <c r="B118" s="29">
        <f>B101+B116</f>
        <v>6256979.0099999998</v>
      </c>
      <c r="C118" s="29"/>
      <c r="D118" s="115"/>
      <c r="E118" s="29"/>
      <c r="F118" s="29"/>
      <c r="G118" s="62"/>
      <c r="H118" s="29"/>
      <c r="I118" s="29"/>
      <c r="J118" s="29"/>
      <c r="K118" s="79"/>
      <c r="L118" s="79"/>
      <c r="M118" s="79"/>
    </row>
    <row r="119" spans="1:26" s="61" customFormat="1" ht="17.100000000000001" customHeight="1" x14ac:dyDescent="0.2"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115"/>
      <c r="Q119" s="29"/>
      <c r="R119" s="29"/>
      <c r="S119" s="62"/>
      <c r="T119" s="29"/>
      <c r="U119" s="29"/>
      <c r="V119" s="29"/>
      <c r="W119" s="79"/>
      <c r="X119" s="79"/>
      <c r="Y119" s="79"/>
    </row>
    <row r="120" spans="1:26" s="73" customFormat="1" ht="17.100000000000001" customHeight="1" x14ac:dyDescent="0.2">
      <c r="A120" s="61"/>
      <c r="B120" s="76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61"/>
      <c r="O120" s="29"/>
      <c r="P120" s="115"/>
      <c r="Q120" s="71"/>
      <c r="R120" s="29"/>
      <c r="S120" s="72"/>
      <c r="T120" s="71"/>
      <c r="U120" s="71"/>
      <c r="V120" s="71"/>
      <c r="W120" s="79"/>
      <c r="X120" s="79"/>
      <c r="Y120" s="79"/>
    </row>
    <row r="121" spans="1:26" s="61" customFormat="1" ht="17.100000000000001" customHeight="1" x14ac:dyDescent="0.2">
      <c r="A121" s="70"/>
      <c r="B121" s="75"/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1"/>
      <c r="P121" s="115"/>
      <c r="Q121" s="29"/>
      <c r="R121" s="29"/>
      <c r="S121" s="62"/>
      <c r="T121" s="29"/>
      <c r="U121" s="29"/>
      <c r="V121" s="29"/>
      <c r="W121" s="79"/>
      <c r="X121" s="79"/>
      <c r="Y121" s="79"/>
    </row>
    <row r="122" spans="1:26" s="61" customFormat="1" ht="17.100000000000001" customHeight="1" x14ac:dyDescent="0.2">
      <c r="A122" s="69" t="s">
        <v>126</v>
      </c>
      <c r="B122" s="86">
        <v>1553</v>
      </c>
      <c r="C122" s="86">
        <v>1553</v>
      </c>
      <c r="D122" s="86">
        <v>1554</v>
      </c>
      <c r="E122" s="86">
        <v>1554</v>
      </c>
      <c r="F122" s="86">
        <v>1557</v>
      </c>
      <c r="G122" s="86">
        <v>1558</v>
      </c>
      <c r="H122" s="86">
        <v>1560</v>
      </c>
      <c r="I122" s="86">
        <v>1563</v>
      </c>
      <c r="J122" s="86">
        <v>1565</v>
      </c>
      <c r="K122" s="86">
        <v>1568</v>
      </c>
      <c r="L122" s="86">
        <v>1570</v>
      </c>
      <c r="M122" s="86">
        <v>1569</v>
      </c>
      <c r="N122" s="29"/>
      <c r="O122" s="29"/>
      <c r="P122" s="115"/>
      <c r="Q122" s="29"/>
      <c r="R122" s="29"/>
      <c r="S122" s="62"/>
      <c r="T122" s="29"/>
      <c r="U122" s="29"/>
      <c r="V122" s="29"/>
      <c r="W122" s="79"/>
      <c r="X122" s="79"/>
      <c r="Y122" s="79"/>
    </row>
    <row r="123" spans="1:26" s="61" customFormat="1" ht="17.100000000000001" customHeight="1" x14ac:dyDescent="0.2">
      <c r="A123" s="69" t="s">
        <v>147</v>
      </c>
      <c r="B123" s="29">
        <f t="shared" ref="B123:M123" si="4">IF(B122=0, "", B13/B122)</f>
        <v>1107.2118480360593</v>
      </c>
      <c r="C123" s="29">
        <f t="shared" si="4"/>
        <v>1107.2118480360593</v>
      </c>
      <c r="D123" s="29">
        <f t="shared" si="4"/>
        <v>1106.4993564993565</v>
      </c>
      <c r="E123" s="29">
        <f t="shared" si="4"/>
        <v>1106.4993564993565</v>
      </c>
      <c r="F123" s="29">
        <f t="shared" si="4"/>
        <v>1104.3673731535002</v>
      </c>
      <c r="G123" s="29">
        <f t="shared" si="4"/>
        <v>1103.6585365853659</v>
      </c>
      <c r="H123" s="29">
        <f t="shared" si="4"/>
        <v>1102.2435897435898</v>
      </c>
      <c r="I123" s="29">
        <f t="shared" si="4"/>
        <v>1100.127959053103</v>
      </c>
      <c r="J123" s="29">
        <f t="shared" si="4"/>
        <v>1098.7220447284344</v>
      </c>
      <c r="K123" s="29">
        <f t="shared" si="4"/>
        <v>1096.6198979591836</v>
      </c>
      <c r="L123" s="29">
        <f t="shared" si="4"/>
        <v>1095.2229299363057</v>
      </c>
      <c r="M123" s="29">
        <f t="shared" si="4"/>
        <v>989.16507329509238</v>
      </c>
      <c r="N123" s="29"/>
      <c r="O123" s="29"/>
      <c r="P123" s="115"/>
      <c r="Q123" s="29"/>
      <c r="R123" s="29"/>
      <c r="S123" s="62"/>
      <c r="T123" s="29"/>
      <c r="U123" s="29"/>
      <c r="V123" s="29"/>
      <c r="W123" s="79"/>
      <c r="X123" s="79"/>
      <c r="Y123" s="79"/>
    </row>
    <row r="124" spans="1:26" s="61" customFormat="1" ht="17.100000000000001" customHeight="1" x14ac:dyDescent="0.2">
      <c r="A124" s="69" t="s">
        <v>148</v>
      </c>
      <c r="B124" s="29">
        <f t="shared" ref="B124:M124" si="5">IF(B$122=0, "", B10/B122)</f>
        <v>3599.1024404378622</v>
      </c>
      <c r="C124" s="29">
        <f t="shared" si="5"/>
        <v>3576.1615196394073</v>
      </c>
      <c r="D124" s="29">
        <f t="shared" si="5"/>
        <v>3783.1807400257394</v>
      </c>
      <c r="E124" s="29">
        <f t="shared" si="5"/>
        <v>3771.3669305019312</v>
      </c>
      <c r="F124" s="29">
        <f t="shared" si="5"/>
        <v>3869.9150353243417</v>
      </c>
      <c r="G124" s="29">
        <f t="shared" si="5"/>
        <v>3858.5063093709887</v>
      </c>
      <c r="H124" s="29">
        <f t="shared" si="5"/>
        <v>4031.9465192307694</v>
      </c>
      <c r="I124" s="29">
        <f t="shared" si="5"/>
        <v>3491.4165770953291</v>
      </c>
      <c r="J124" s="29">
        <f t="shared" si="5"/>
        <v>3374.7254121405754</v>
      </c>
      <c r="K124" s="29">
        <f t="shared" si="5"/>
        <v>3321.1054783163268</v>
      </c>
      <c r="L124" s="29">
        <f t="shared" si="5"/>
        <v>3406.3475414012737</v>
      </c>
      <c r="M124" s="29">
        <f t="shared" si="5"/>
        <v>3306.5842957297641</v>
      </c>
      <c r="N124" s="29"/>
      <c r="O124" s="29"/>
      <c r="P124" s="115"/>
      <c r="Q124" s="29"/>
      <c r="R124" s="29"/>
      <c r="S124" s="62"/>
      <c r="T124" s="29"/>
      <c r="U124" s="29"/>
      <c r="V124" s="29"/>
      <c r="W124" s="79"/>
      <c r="X124" s="79"/>
      <c r="Y124" s="79"/>
    </row>
    <row r="125" spans="1:26" s="61" customFormat="1" ht="17.100000000000001" customHeight="1" x14ac:dyDescent="0.2">
      <c r="A125" s="6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115"/>
      <c r="Q125" s="29"/>
      <c r="R125" s="29"/>
      <c r="S125" s="62"/>
      <c r="T125" s="29"/>
      <c r="U125" s="29"/>
      <c r="V125" s="29"/>
      <c r="W125" s="79"/>
      <c r="X125" s="79"/>
      <c r="Y125" s="79"/>
    </row>
    <row r="126" spans="1:26" s="61" customFormat="1" ht="17.100000000000001" customHeight="1" x14ac:dyDescent="0.2">
      <c r="A126" s="69"/>
      <c r="B126" s="76"/>
      <c r="C126" s="76"/>
      <c r="D126" s="76"/>
      <c r="E126" s="76"/>
      <c r="F126" s="76"/>
      <c r="G126" s="76"/>
      <c r="H126" s="76"/>
      <c r="I126" s="76"/>
      <c r="J126" s="76"/>
      <c r="K126" s="76"/>
      <c r="L126" s="76"/>
      <c r="M126" s="76"/>
      <c r="N126" s="47"/>
      <c r="O126" s="47"/>
      <c r="P126" s="116"/>
      <c r="Q126" s="47"/>
      <c r="R126" s="47"/>
      <c r="S126" s="47"/>
      <c r="T126" s="47"/>
      <c r="U126" s="47"/>
      <c r="V126" s="29"/>
      <c r="W126" s="29"/>
      <c r="X126" s="79"/>
      <c r="Y126" s="79"/>
      <c r="Z126" s="79"/>
    </row>
    <row r="127" spans="1:26" s="22" customFormat="1" ht="17.100000000000001" customHeight="1" x14ac:dyDescent="0.2">
      <c r="A127" s="69"/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124"/>
      <c r="Q127" s="50"/>
      <c r="R127" s="29"/>
      <c r="S127" s="86"/>
      <c r="T127" s="29"/>
      <c r="U127" s="29"/>
      <c r="V127" s="29"/>
      <c r="W127" s="29"/>
      <c r="X127" s="79"/>
      <c r="Y127" s="79"/>
      <c r="Z127" s="79"/>
    </row>
    <row r="128" spans="1:26" s="101" customFormat="1" ht="39.950000000000003" customHeight="1" x14ac:dyDescent="0.2">
      <c r="A128" s="14"/>
      <c r="B128" s="111" t="s">
        <v>114</v>
      </c>
      <c r="C128" s="111" t="s">
        <v>115</v>
      </c>
      <c r="D128" s="111" t="s">
        <v>116</v>
      </c>
      <c r="E128" s="111" t="s">
        <v>117</v>
      </c>
      <c r="F128" s="111" t="s">
        <v>118</v>
      </c>
      <c r="G128" s="111" t="s">
        <v>119</v>
      </c>
      <c r="H128" s="111" t="s">
        <v>120</v>
      </c>
      <c r="I128" s="111" t="s">
        <v>121</v>
      </c>
      <c r="J128" s="111" t="s">
        <v>122</v>
      </c>
      <c r="K128" s="111" t="s">
        <v>123</v>
      </c>
      <c r="L128" s="111" t="s">
        <v>124</v>
      </c>
      <c r="M128" s="111" t="s">
        <v>125</v>
      </c>
      <c r="N128" s="111" t="s">
        <v>127</v>
      </c>
      <c r="O128" s="114"/>
      <c r="P128" s="125"/>
      <c r="Q128" s="66"/>
      <c r="R128" s="76"/>
      <c r="S128" s="76"/>
      <c r="T128" s="76"/>
      <c r="U128" s="112"/>
      <c r="V128" s="14"/>
      <c r="W128" s="14"/>
      <c r="X128" s="113"/>
      <c r="Y128" s="113"/>
      <c r="Z128" s="113"/>
    </row>
    <row r="129" spans="1:26" s="22" customFormat="1" ht="17.100000000000001" customHeight="1" x14ac:dyDescent="0.2">
      <c r="A129" s="41" t="s">
        <v>128</v>
      </c>
      <c r="B129" s="85">
        <v>8.9610000000000003</v>
      </c>
      <c r="C129" s="85">
        <v>8.6720000000000006</v>
      </c>
      <c r="D129" s="85">
        <v>8.8800000000000008</v>
      </c>
      <c r="E129" s="85">
        <v>8.9860000000000007</v>
      </c>
      <c r="F129" s="85">
        <v>11.138999999999999</v>
      </c>
      <c r="G129" s="85">
        <v>18.774999999999999</v>
      </c>
      <c r="H129" s="85">
        <v>24.113</v>
      </c>
      <c r="I129" s="85">
        <v>22.088000000000001</v>
      </c>
      <c r="J129" s="85">
        <v>20.411999999999999</v>
      </c>
      <c r="K129" s="85">
        <v>18.518000000000001</v>
      </c>
      <c r="L129" s="85">
        <v>10.018000000000001</v>
      </c>
      <c r="M129" s="85">
        <v>9.8780000000000001</v>
      </c>
      <c r="N129" s="85">
        <f>SUM(B129:M129)</f>
        <v>170.44</v>
      </c>
      <c r="O129" s="85"/>
      <c r="P129" s="124"/>
      <c r="Q129" s="50"/>
      <c r="R129" s="29"/>
      <c r="S129" s="29"/>
      <c r="T129" s="62"/>
      <c r="U129" s="63"/>
      <c r="V129" s="21"/>
      <c r="W129" s="21"/>
      <c r="X129" s="79"/>
      <c r="Y129" s="79"/>
      <c r="Z129" s="79"/>
    </row>
    <row r="130" spans="1:26" s="27" customFormat="1" ht="17.100000000000001" customHeight="1" x14ac:dyDescent="0.2">
      <c r="A130" s="41" t="s">
        <v>129</v>
      </c>
      <c r="B130" s="82">
        <f>31*0.07 + 31*0.166</f>
        <v>7.3160000000000007</v>
      </c>
      <c r="C130" s="82">
        <f>29*0.07 + 29*0.148</f>
        <v>6.3220000000000001</v>
      </c>
      <c r="D130" s="82">
        <f>31*0.066 + 31*0.153</f>
        <v>6.7890000000000006</v>
      </c>
      <c r="E130" s="82">
        <f>30*0.068 + 30*0.162</f>
        <v>6.9</v>
      </c>
      <c r="F130" s="82">
        <f>31*0.076 + 31*0.162</f>
        <v>7.3780000000000001</v>
      </c>
      <c r="G130" s="82">
        <f>30*0.076 + 30*0.169</f>
        <v>7.35</v>
      </c>
      <c r="H130" s="82">
        <f>31*0.078 + 31*0.169</f>
        <v>7.6570000000000009</v>
      </c>
      <c r="I130" s="82">
        <f>31*0.074 + 31*0.158</f>
        <v>7.1920000000000002</v>
      </c>
      <c r="J130" s="82">
        <f>30*0.068 + 30*0.169</f>
        <v>7.11</v>
      </c>
      <c r="K130" s="82">
        <f>31*0.077 +31*0.169</f>
        <v>7.6260000000000012</v>
      </c>
      <c r="L130" s="82">
        <f>30*0.074 + 30*0.166</f>
        <v>7.2</v>
      </c>
      <c r="M130" s="82">
        <f>31*0.07 + 31*0.167</f>
        <v>7.3470000000000013</v>
      </c>
      <c r="N130" s="85">
        <f>SUM(B130:M130)</f>
        <v>86.187000000000012</v>
      </c>
      <c r="O130" s="88"/>
      <c r="P130" s="124"/>
      <c r="Q130" s="21"/>
      <c r="R130" s="29"/>
      <c r="S130" s="21"/>
      <c r="T130" s="14"/>
      <c r="V130" s="21"/>
      <c r="W130" s="21"/>
      <c r="X130" s="79"/>
      <c r="Y130" s="79"/>
      <c r="Z130" s="79"/>
    </row>
    <row r="131" spans="1:26" s="97" customFormat="1" ht="17.100000000000001" customHeight="1" x14ac:dyDescent="0.2">
      <c r="A131" s="92"/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93"/>
      <c r="M131" s="93"/>
      <c r="N131" s="85"/>
      <c r="O131" s="94"/>
      <c r="P131" s="115"/>
      <c r="Q131" s="95"/>
      <c r="R131" s="29"/>
      <c r="S131" s="96"/>
      <c r="U131" s="95"/>
      <c r="V131" s="95"/>
      <c r="W131" s="95"/>
      <c r="X131" s="95"/>
      <c r="Y131" s="95"/>
    </row>
    <row r="132" spans="1:26" s="100" customFormat="1" ht="17.100000000000001" customHeight="1" x14ac:dyDescent="0.2">
      <c r="A132" s="99" t="s">
        <v>130</v>
      </c>
      <c r="B132" s="102">
        <f>4.912 + 0.037</f>
        <v>4.9489999999999998</v>
      </c>
      <c r="C132" s="102">
        <f>5.626 + 0.07</f>
        <v>5.6960000000000006</v>
      </c>
      <c r="D132" s="102">
        <f>4.238 + 0.059</f>
        <v>4.2970000000000006</v>
      </c>
      <c r="E132" s="102">
        <f>5.635 + 0.065</f>
        <v>5.7</v>
      </c>
      <c r="F132" s="102">
        <f>5.682 + 0.142</f>
        <v>5.8240000000000007</v>
      </c>
      <c r="G132" s="102">
        <f>11.267 + 0.014</f>
        <v>11.280999999999999</v>
      </c>
      <c r="H132" s="102">
        <f>11.859 + 0.42</f>
        <v>12.279</v>
      </c>
      <c r="I132" s="102">
        <f>16.472 + 0.202</f>
        <v>16.674000000000003</v>
      </c>
      <c r="J132" s="102">
        <f>10.243 + 0.227</f>
        <v>10.47</v>
      </c>
      <c r="K132" s="102">
        <f>13.176 + 0.016</f>
        <v>13.192</v>
      </c>
      <c r="L132" s="102">
        <f>6.784 + 0.056</f>
        <v>6.84</v>
      </c>
      <c r="M132" s="102">
        <f>5.339 + 0.056</f>
        <v>5.3950000000000005</v>
      </c>
      <c r="N132" s="85">
        <f>SUM(B132:M132)</f>
        <v>102.59699999999999</v>
      </c>
      <c r="O132" s="102"/>
      <c r="P132" s="119"/>
      <c r="Q132" s="99"/>
      <c r="R132" s="44"/>
      <c r="S132" s="98"/>
      <c r="U132" s="99"/>
      <c r="V132" s="99"/>
      <c r="W132" s="99"/>
      <c r="X132" s="99"/>
      <c r="Y132" s="99"/>
    </row>
    <row r="133" spans="1:26" s="91" customFormat="1" ht="17.100000000000001" customHeight="1" x14ac:dyDescent="0.2">
      <c r="A133" s="104" t="s">
        <v>131</v>
      </c>
      <c r="B133" s="85"/>
      <c r="C133" s="85"/>
      <c r="D133" s="85">
        <f>255200/1000000</f>
        <v>0.25519999999999998</v>
      </c>
      <c r="E133" s="85"/>
      <c r="F133" s="85">
        <f>4800/1000000</f>
        <v>4.7999999999999996E-3</v>
      </c>
      <c r="G133" s="85"/>
      <c r="H133" s="85">
        <f>3800/1000000</f>
        <v>3.8E-3</v>
      </c>
      <c r="I133" s="85">
        <f>17000/1000000</f>
        <v>1.7000000000000001E-2</v>
      </c>
      <c r="J133" s="85">
        <f>1000/1000000</f>
        <v>1E-3</v>
      </c>
      <c r="K133" s="85">
        <f>921550/1000000</f>
        <v>0.92154999999999998</v>
      </c>
      <c r="L133" s="85"/>
      <c r="M133" s="85"/>
      <c r="N133" s="85">
        <f>SUM(B133:M133)</f>
        <v>1.2033499999999999</v>
      </c>
      <c r="O133" s="88"/>
      <c r="P133" s="115"/>
      <c r="Q133" s="89"/>
      <c r="R133" s="29"/>
      <c r="S133" s="90"/>
      <c r="U133" s="89"/>
      <c r="V133" s="89"/>
      <c r="W133" s="89"/>
      <c r="X133" s="89"/>
      <c r="Y133" s="89"/>
    </row>
    <row r="134" spans="1:26" s="42" customFormat="1" ht="17.100000000000001" customHeight="1" x14ac:dyDescent="0.2">
      <c r="A134" s="49" t="s">
        <v>132</v>
      </c>
      <c r="B134" s="106">
        <v>0</v>
      </c>
      <c r="C134" s="106">
        <v>0</v>
      </c>
      <c r="D134" s="106">
        <f>43500/1000000</f>
        <v>4.3499999999999997E-2</v>
      </c>
      <c r="E134" s="106">
        <f>190500/1000000</f>
        <v>0.1905</v>
      </c>
      <c r="F134" s="106">
        <f>107500/1000000</f>
        <v>0.1075</v>
      </c>
      <c r="G134" s="106">
        <f>629500/1000000</f>
        <v>0.62949999999999995</v>
      </c>
      <c r="H134" s="106">
        <f>540000/1000000</f>
        <v>0.54</v>
      </c>
      <c r="I134" s="106">
        <f>846500/1000000</f>
        <v>0.84650000000000003</v>
      </c>
      <c r="J134" s="106">
        <f>510000/1000000</f>
        <v>0.51</v>
      </c>
      <c r="K134" s="106">
        <f>520500/1000000</f>
        <v>0.52049999999999996</v>
      </c>
      <c r="L134" s="107"/>
      <c r="M134" s="107"/>
      <c r="N134" s="106">
        <f>SUM(B134:M134)</f>
        <v>3.3879999999999999</v>
      </c>
      <c r="O134" s="105"/>
      <c r="P134" s="115"/>
      <c r="Q134" s="21"/>
      <c r="R134" s="29"/>
      <c r="S134" s="13"/>
      <c r="U134" s="21"/>
      <c r="V134" s="21"/>
      <c r="W134" s="79"/>
      <c r="X134" s="79"/>
      <c r="Y134" s="79"/>
    </row>
    <row r="135" spans="1:26" s="22" customFormat="1" ht="17.100000000000001" customHeight="1" x14ac:dyDescent="0.2">
      <c r="A135" s="41" t="s">
        <v>133</v>
      </c>
      <c r="B135" s="82">
        <f t="shared" ref="B135:N135" si="6">SUM(B132:B134)</f>
        <v>4.9489999999999998</v>
      </c>
      <c r="C135" s="82">
        <f t="shared" si="6"/>
        <v>5.6960000000000006</v>
      </c>
      <c r="D135" s="82">
        <f t="shared" si="6"/>
        <v>4.5957000000000008</v>
      </c>
      <c r="E135" s="82">
        <f t="shared" si="6"/>
        <v>5.8905000000000003</v>
      </c>
      <c r="F135" s="82">
        <f t="shared" si="6"/>
        <v>5.936300000000001</v>
      </c>
      <c r="G135" s="82">
        <f t="shared" si="6"/>
        <v>11.910499999999999</v>
      </c>
      <c r="H135" s="82">
        <f t="shared" si="6"/>
        <v>12.822800000000001</v>
      </c>
      <c r="I135" s="82">
        <f t="shared" si="6"/>
        <v>17.537500000000001</v>
      </c>
      <c r="J135" s="82">
        <f t="shared" si="6"/>
        <v>10.981</v>
      </c>
      <c r="K135" s="82">
        <f t="shared" si="6"/>
        <v>14.63405</v>
      </c>
      <c r="L135" s="105">
        <f t="shared" si="6"/>
        <v>6.84</v>
      </c>
      <c r="M135" s="105">
        <f t="shared" si="6"/>
        <v>5.3950000000000005</v>
      </c>
      <c r="N135" s="105">
        <f t="shared" si="6"/>
        <v>107.18835</v>
      </c>
      <c r="O135" s="105"/>
      <c r="P135" s="115"/>
      <c r="Q135" s="21"/>
      <c r="R135" s="29"/>
      <c r="S135" s="14"/>
      <c r="U135" s="21"/>
      <c r="V135" s="21"/>
      <c r="W135" s="79"/>
      <c r="X135" s="79"/>
      <c r="Y135" s="79"/>
    </row>
    <row r="136" spans="1:26" s="22" customFormat="1" ht="17.100000000000001" customHeight="1" x14ac:dyDescent="0.2">
      <c r="A136" s="103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115"/>
      <c r="Q136" s="21"/>
      <c r="R136" s="29"/>
      <c r="S136" s="14"/>
      <c r="U136" s="21"/>
      <c r="V136" s="21"/>
      <c r="W136" s="79"/>
      <c r="X136" s="79"/>
      <c r="Y136" s="79"/>
    </row>
    <row r="137" spans="1:26" s="95" customFormat="1" ht="17.100000000000001" customHeight="1" x14ac:dyDescent="0.2">
      <c r="A137" s="92" t="s">
        <v>135</v>
      </c>
      <c r="B137" s="95">
        <v>144.637</v>
      </c>
      <c r="C137" s="95">
        <v>142.11099999999999</v>
      </c>
      <c r="D137" s="95">
        <v>142.69</v>
      </c>
      <c r="E137" s="95">
        <v>143.03399999999999</v>
      </c>
      <c r="F137" s="95">
        <v>143.62700000000001</v>
      </c>
      <c r="G137" s="95">
        <v>149.69100000000009</v>
      </c>
      <c r="H137" s="95">
        <v>154.96300000000011</v>
      </c>
      <c r="I137" s="95">
        <v>160.04700000000011</v>
      </c>
      <c r="J137" s="95">
        <v>162.92699999999999</v>
      </c>
      <c r="K137" s="95">
        <v>168.60300000000001</v>
      </c>
      <c r="L137" s="95">
        <v>169.63</v>
      </c>
      <c r="M137" s="95">
        <v>170.44</v>
      </c>
      <c r="P137" s="115"/>
      <c r="S137" s="108"/>
    </row>
    <row r="138" spans="1:26" s="95" customFormat="1" ht="17.100000000000001" customHeight="1" x14ac:dyDescent="0.2">
      <c r="A138" s="92" t="s">
        <v>140</v>
      </c>
      <c r="B138" s="95">
        <v>99.181700000000006</v>
      </c>
      <c r="C138" s="95">
        <v>93.900499999999994</v>
      </c>
      <c r="D138" s="95">
        <v>93.718899999999991</v>
      </c>
      <c r="E138" s="95">
        <v>93.6614</v>
      </c>
      <c r="F138" s="95">
        <v>94.012500000000003</v>
      </c>
      <c r="G138" s="95">
        <v>97.270299999999992</v>
      </c>
      <c r="H138" s="95">
        <v>101.13160000000001</v>
      </c>
      <c r="I138" s="95">
        <v>102.9098</v>
      </c>
      <c r="J138" s="95">
        <v>104.41930000000001</v>
      </c>
      <c r="K138" s="95">
        <v>107.01235</v>
      </c>
      <c r="L138" s="95">
        <v>107.51134999999999</v>
      </c>
      <c r="M138" s="95">
        <v>107.18835</v>
      </c>
      <c r="P138" s="115"/>
      <c r="S138" s="108"/>
    </row>
    <row r="139" spans="1:26" s="84" customFormat="1" ht="17.100000000000001" customHeight="1" x14ac:dyDescent="0.2">
      <c r="A139" s="109" t="s">
        <v>136</v>
      </c>
      <c r="B139" s="84">
        <f>(B137-B138)/B137</f>
        <v>0.31427159025698814</v>
      </c>
      <c r="C139" s="84">
        <f t="shared" ref="C139:M139" si="7">IF(C129="","",(C137-C138)/C137)</f>
        <v>0.33924537861249304</v>
      </c>
      <c r="D139" s="84">
        <f t="shared" si="7"/>
        <v>0.34319924311444394</v>
      </c>
      <c r="E139" s="84">
        <f t="shared" si="7"/>
        <v>0.34518086608778331</v>
      </c>
      <c r="F139" s="84">
        <f t="shared" si="7"/>
        <v>0.34543992424822634</v>
      </c>
      <c r="G139" s="84">
        <f t="shared" si="7"/>
        <v>0.35019273035787096</v>
      </c>
      <c r="H139" s="84">
        <f t="shared" si="7"/>
        <v>0.34738227835031632</v>
      </c>
      <c r="I139" s="84">
        <f t="shared" si="7"/>
        <v>0.35700263047729769</v>
      </c>
      <c r="J139" s="84">
        <f t="shared" si="7"/>
        <v>0.35910377040024055</v>
      </c>
      <c r="K139" s="84">
        <f t="shared" si="7"/>
        <v>0.36529984638470259</v>
      </c>
      <c r="L139" s="84">
        <f t="shared" si="7"/>
        <v>0.36620084890644344</v>
      </c>
      <c r="M139" s="84">
        <f t="shared" si="7"/>
        <v>0.37110801455057496</v>
      </c>
      <c r="P139" s="115"/>
      <c r="S139" s="110"/>
    </row>
    <row r="140" spans="1:26" s="95" customFormat="1" ht="17.100000000000001" customHeight="1" x14ac:dyDescent="0.2">
      <c r="A140" s="92" t="s">
        <v>137</v>
      </c>
      <c r="B140" s="95">
        <f>B137-B138</f>
        <v>45.455299999999994</v>
      </c>
      <c r="C140" s="95">
        <f t="shared" ref="C140:M140" si="8">IF(C129="","",C137-C138)</f>
        <v>48.210499999999996</v>
      </c>
      <c r="D140" s="95">
        <f t="shared" si="8"/>
        <v>48.971100000000007</v>
      </c>
      <c r="E140" s="95">
        <f t="shared" si="8"/>
        <v>49.372599999999991</v>
      </c>
      <c r="F140" s="95">
        <f t="shared" si="8"/>
        <v>49.614500000000007</v>
      </c>
      <c r="G140" s="95">
        <f t="shared" si="8"/>
        <v>52.420700000000096</v>
      </c>
      <c r="H140" s="95">
        <f t="shared" si="8"/>
        <v>53.831400000000102</v>
      </c>
      <c r="I140" s="95">
        <f t="shared" si="8"/>
        <v>57.137200000000107</v>
      </c>
      <c r="J140" s="95">
        <f t="shared" si="8"/>
        <v>58.507699999999986</v>
      </c>
      <c r="K140" s="95">
        <f t="shared" si="8"/>
        <v>61.590650000000011</v>
      </c>
      <c r="L140" s="95">
        <f t="shared" si="8"/>
        <v>62.118650000000002</v>
      </c>
      <c r="M140" s="95">
        <f t="shared" si="8"/>
        <v>63.251649999999998</v>
      </c>
      <c r="P140" s="115"/>
      <c r="S140" s="108"/>
    </row>
    <row r="141" spans="1:26" s="95" customFormat="1" ht="17.100000000000001" customHeight="1" x14ac:dyDescent="0.2">
      <c r="A141" s="92" t="s">
        <v>134</v>
      </c>
      <c r="D141" s="95">
        <v>1.447E-2</v>
      </c>
      <c r="J141" s="95">
        <f>(150000+100000)/1000000</f>
        <v>0.25</v>
      </c>
      <c r="K141" s="95">
        <f>20000/1000000</f>
        <v>0.02</v>
      </c>
      <c r="P141" s="115"/>
      <c r="S141" s="108"/>
    </row>
    <row r="142" spans="1:26" s="95" customFormat="1" ht="17.100000000000001" customHeight="1" x14ac:dyDescent="0.2">
      <c r="A142" s="92" t="s">
        <v>141</v>
      </c>
      <c r="B142" s="95">
        <v>0.25900000000000001</v>
      </c>
      <c r="C142" s="95">
        <v>0.25900000000000001</v>
      </c>
      <c r="D142" s="95">
        <v>0.25900000000000001</v>
      </c>
      <c r="E142" s="95">
        <v>0.25900000000000001</v>
      </c>
      <c r="F142" s="95">
        <v>0.25900000000000001</v>
      </c>
      <c r="G142" s="95">
        <v>0.25900000000000001</v>
      </c>
      <c r="H142" s="95">
        <v>0.25900000000000001</v>
      </c>
      <c r="I142" s="95">
        <v>0.25900000000000001</v>
      </c>
      <c r="J142" s="95">
        <v>0.25900000000000001</v>
      </c>
      <c r="K142" s="95">
        <v>0.25900000000000001</v>
      </c>
      <c r="L142" s="95">
        <v>0.25900000000000001</v>
      </c>
      <c r="M142" s="95">
        <v>0.25900000000000001</v>
      </c>
      <c r="P142" s="115"/>
      <c r="S142" s="108"/>
    </row>
    <row r="143" spans="1:26" s="22" customFormat="1" ht="17.100000000000001" customHeight="1" x14ac:dyDescent="0.2">
      <c r="A143" s="15" t="s">
        <v>142</v>
      </c>
      <c r="B143" s="21">
        <v>5.2080000000000002</v>
      </c>
      <c r="C143" s="21">
        <v>5.955000000000001</v>
      </c>
      <c r="D143" s="21">
        <v>4.8691700000000013</v>
      </c>
      <c r="E143" s="21">
        <v>6.1495000000000006</v>
      </c>
      <c r="F143" s="21">
        <v>6.1953000000000014</v>
      </c>
      <c r="G143" s="21">
        <v>12.169499999999999</v>
      </c>
      <c r="H143" s="21">
        <v>13.081799999999999</v>
      </c>
      <c r="I143" s="21">
        <v>17.796500000000002</v>
      </c>
      <c r="J143" s="21">
        <v>11.49</v>
      </c>
      <c r="K143" s="21">
        <v>14.91305</v>
      </c>
      <c r="L143" s="21">
        <v>7.0990000000000002</v>
      </c>
      <c r="M143" s="21">
        <v>5.6540000000000008</v>
      </c>
      <c r="N143" s="21"/>
      <c r="O143" s="21"/>
      <c r="P143" s="115"/>
      <c r="Q143" s="21"/>
      <c r="R143" s="29"/>
      <c r="S143" s="14"/>
      <c r="T143" s="46"/>
      <c r="U143" s="21"/>
      <c r="V143" s="21"/>
      <c r="W143" s="79"/>
      <c r="X143" s="79"/>
      <c r="Y143" s="79"/>
    </row>
    <row r="144" spans="1:26" s="22" customFormat="1" ht="17.100000000000001" customHeight="1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115"/>
      <c r="Q144" s="21"/>
      <c r="R144" s="29"/>
      <c r="S144" s="14"/>
      <c r="T144" s="46"/>
      <c r="U144" s="21"/>
      <c r="V144" s="21"/>
      <c r="W144" s="79"/>
      <c r="X144" s="79"/>
      <c r="Y144" s="79"/>
    </row>
    <row r="145" spans="1:25" s="22" customFormat="1" ht="17.100000000000001" customHeight="1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115"/>
      <c r="Q145" s="21"/>
      <c r="R145" s="29"/>
      <c r="S145" s="14"/>
      <c r="T145" s="46"/>
      <c r="U145" s="21"/>
      <c r="V145" s="21"/>
      <c r="W145" s="79"/>
      <c r="X145" s="79"/>
      <c r="Y145" s="79"/>
    </row>
    <row r="146" spans="1:25" s="22" customFormat="1" ht="17.100000000000001" customHeight="1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115"/>
      <c r="Q146" s="21"/>
      <c r="R146" s="29"/>
      <c r="S146" s="14"/>
      <c r="T146" s="46"/>
      <c r="U146" s="21"/>
      <c r="V146" s="21"/>
      <c r="W146" s="79"/>
      <c r="X146" s="79"/>
      <c r="Y146" s="79"/>
    </row>
    <row r="148" spans="1:25" x14ac:dyDescent="0.2">
      <c r="P148" s="126" t="s">
        <v>143</v>
      </c>
    </row>
  </sheetData>
  <mergeCells count="1">
    <mergeCell ref="F1:I1"/>
  </mergeCells>
  <printOptions gridLines="1"/>
  <pageMargins left="0.25" right="0.25" top="0.75" bottom="0.75" header="0.3" footer="0.3"/>
  <pageSetup scale="42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11FF3-BD31-405D-B225-43BB47C14101}">
  <dimension ref="A1:Z184"/>
  <sheetViews>
    <sheetView workbookViewId="0">
      <selection activeCell="B59" sqref="B59"/>
    </sheetView>
  </sheetViews>
  <sheetFormatPr defaultRowHeight="12.75" x14ac:dyDescent="0.2"/>
  <cols>
    <col min="1" max="1" width="47.33203125" style="74" bestFit="1" customWidth="1"/>
    <col min="2" max="3" width="15.83203125" style="140" customWidth="1"/>
    <col min="4" max="4" width="15.83203125" style="74" customWidth="1"/>
    <col min="5" max="5" width="15.1640625" style="74" bestFit="1" customWidth="1"/>
    <col min="6" max="15" width="15.83203125" style="74" customWidth="1"/>
    <col min="16" max="16" width="15.83203125" style="117" customWidth="1"/>
    <col min="17" max="17" width="17.33203125" style="5" customWidth="1"/>
    <col min="18" max="18" width="19" style="6" customWidth="1"/>
    <col min="19" max="19" width="15.83203125" style="7" customWidth="1"/>
    <col min="20" max="20" width="15.83203125" style="74" customWidth="1"/>
    <col min="21" max="22" width="15.83203125" style="5" customWidth="1"/>
    <col min="23" max="23" width="18.33203125" style="79" bestFit="1" customWidth="1"/>
    <col min="24" max="24" width="10.83203125" style="79" bestFit="1" customWidth="1"/>
    <col min="25" max="25" width="12.1640625" style="79" bestFit="1" customWidth="1"/>
  </cols>
  <sheetData>
    <row r="1" spans="1:25" ht="42.95" customHeight="1" x14ac:dyDescent="0.2">
      <c r="A1" s="3"/>
      <c r="B1" s="134"/>
      <c r="C1" s="134"/>
      <c r="D1"/>
      <c r="E1"/>
      <c r="F1" s="158">
        <v>2024</v>
      </c>
      <c r="G1" s="159"/>
      <c r="H1" s="159"/>
      <c r="I1" s="159"/>
      <c r="J1"/>
      <c r="K1"/>
      <c r="L1"/>
      <c r="M1"/>
    </row>
    <row r="2" spans="1:25" ht="39.950000000000003" customHeight="1" x14ac:dyDescent="0.2">
      <c r="A2" s="10"/>
      <c r="B2" s="136" t="s">
        <v>138</v>
      </c>
      <c r="C2" s="136" t="s">
        <v>139</v>
      </c>
      <c r="D2" s="116"/>
      <c r="E2" s="9"/>
      <c r="F2" s="47"/>
      <c r="G2" s="43"/>
      <c r="H2" s="43"/>
      <c r="I2" s="43"/>
      <c r="J2" s="43"/>
      <c r="K2" s="79"/>
      <c r="L2" s="79"/>
      <c r="M2" s="79"/>
      <c r="N2"/>
      <c r="O2"/>
      <c r="P2"/>
      <c r="Q2"/>
      <c r="R2"/>
      <c r="S2"/>
      <c r="T2"/>
      <c r="U2"/>
      <c r="V2"/>
      <c r="W2"/>
      <c r="X2"/>
      <c r="Y2"/>
    </row>
    <row r="3" spans="1:25" x14ac:dyDescent="0.2">
      <c r="A3" s="129" t="s">
        <v>149</v>
      </c>
      <c r="B3" s="137"/>
      <c r="C3" s="137"/>
      <c r="D3" s="116"/>
      <c r="E3" s="9"/>
      <c r="F3" s="47"/>
      <c r="G3" s="43"/>
      <c r="H3" s="43"/>
      <c r="I3" s="43"/>
      <c r="J3" s="43"/>
      <c r="K3" s="79"/>
      <c r="L3" s="79"/>
      <c r="M3" s="79"/>
      <c r="N3"/>
      <c r="O3"/>
      <c r="P3"/>
      <c r="Q3"/>
      <c r="R3"/>
      <c r="S3"/>
      <c r="T3"/>
      <c r="U3"/>
      <c r="V3"/>
      <c r="W3"/>
      <c r="X3"/>
      <c r="Y3"/>
    </row>
    <row r="4" spans="1:25" ht="17.100000000000001" customHeight="1" x14ac:dyDescent="0.2">
      <c r="A4" s="16" t="s">
        <v>45</v>
      </c>
      <c r="B4" s="135">
        <v>1141624.17</v>
      </c>
      <c r="C4" s="135">
        <v>95135.347499999989</v>
      </c>
      <c r="D4" s="115"/>
      <c r="E4" s="29"/>
      <c r="F4" s="29"/>
      <c r="G4" s="32"/>
      <c r="H4" s="19"/>
      <c r="I4" s="52"/>
      <c r="J4" s="29"/>
      <c r="K4" s="80"/>
      <c r="L4" s="80"/>
      <c r="M4" s="80"/>
      <c r="N4"/>
      <c r="O4"/>
      <c r="P4"/>
      <c r="Q4"/>
      <c r="R4"/>
      <c r="S4"/>
      <c r="T4"/>
      <c r="U4"/>
      <c r="V4"/>
      <c r="W4"/>
      <c r="X4"/>
      <c r="Y4"/>
    </row>
    <row r="5" spans="1:25" ht="17.100000000000001" customHeight="1" x14ac:dyDescent="0.2">
      <c r="A5" s="16" t="s">
        <v>39</v>
      </c>
      <c r="B5" s="135">
        <v>1062713.07</v>
      </c>
      <c r="C5" s="135">
        <v>88559.422500000001</v>
      </c>
      <c r="D5" s="115"/>
      <c r="E5" s="29"/>
      <c r="F5" s="29"/>
      <c r="G5" s="32"/>
      <c r="H5" s="19"/>
      <c r="I5" s="52"/>
      <c r="J5" s="29"/>
      <c r="K5" s="80"/>
      <c r="L5" s="80"/>
      <c r="M5" s="80"/>
      <c r="N5"/>
      <c r="O5"/>
      <c r="P5"/>
      <c r="Q5"/>
      <c r="R5"/>
      <c r="S5"/>
      <c r="T5"/>
      <c r="U5"/>
      <c r="V5"/>
      <c r="W5"/>
      <c r="X5"/>
      <c r="Y5"/>
    </row>
    <row r="6" spans="1:25" ht="17.100000000000001" customHeight="1" x14ac:dyDescent="0.2">
      <c r="A6" s="16" t="s">
        <v>27</v>
      </c>
      <c r="B6" s="135">
        <v>126477.15</v>
      </c>
      <c r="C6" s="135">
        <v>10539.762499999999</v>
      </c>
      <c r="D6" s="115"/>
      <c r="E6" s="29"/>
      <c r="F6" s="29"/>
      <c r="G6" s="32"/>
      <c r="H6" s="19"/>
      <c r="I6" s="52"/>
      <c r="J6" s="29"/>
      <c r="K6" s="80"/>
      <c r="L6" s="80"/>
      <c r="M6" s="80"/>
      <c r="N6"/>
      <c r="O6"/>
      <c r="P6"/>
      <c r="Q6"/>
      <c r="R6"/>
      <c r="S6"/>
      <c r="T6"/>
      <c r="U6"/>
      <c r="V6"/>
      <c r="W6"/>
      <c r="X6"/>
      <c r="Y6"/>
    </row>
    <row r="7" spans="1:25" ht="17.100000000000001" customHeight="1" x14ac:dyDescent="0.2">
      <c r="A7" s="16" t="s">
        <v>30</v>
      </c>
      <c r="B7" s="135">
        <v>132</v>
      </c>
      <c r="C7" s="135">
        <v>11</v>
      </c>
      <c r="D7" s="115"/>
      <c r="E7" s="29"/>
      <c r="F7" s="29"/>
      <c r="G7" s="32"/>
      <c r="H7" s="19"/>
      <c r="I7" s="52"/>
      <c r="J7" s="29"/>
      <c r="K7" s="80"/>
      <c r="L7" s="80"/>
      <c r="M7" s="80"/>
      <c r="N7"/>
      <c r="O7"/>
      <c r="P7"/>
      <c r="Q7"/>
      <c r="R7"/>
      <c r="S7"/>
      <c r="T7"/>
      <c r="U7"/>
      <c r="V7"/>
      <c r="W7"/>
      <c r="X7"/>
      <c r="Y7"/>
    </row>
    <row r="8" spans="1:25" ht="17.100000000000001" customHeight="1" x14ac:dyDescent="0.2">
      <c r="A8" s="16" t="s">
        <v>38</v>
      </c>
      <c r="B8" s="135">
        <v>2400</v>
      </c>
      <c r="C8" s="135">
        <v>200</v>
      </c>
      <c r="D8" s="115"/>
      <c r="E8" s="29"/>
      <c r="F8" s="29"/>
      <c r="G8" s="32"/>
      <c r="H8" s="19"/>
      <c r="I8" s="52"/>
      <c r="J8" s="29"/>
      <c r="K8" s="80"/>
      <c r="L8" s="80"/>
      <c r="M8" s="80"/>
      <c r="N8"/>
      <c r="O8"/>
      <c r="P8"/>
      <c r="Q8"/>
      <c r="R8"/>
      <c r="S8"/>
      <c r="T8"/>
      <c r="U8"/>
      <c r="V8"/>
      <c r="W8"/>
      <c r="X8"/>
      <c r="Y8"/>
    </row>
    <row r="9" spans="1:25" ht="17.100000000000001" customHeight="1" x14ac:dyDescent="0.2">
      <c r="A9" s="16" t="s">
        <v>44</v>
      </c>
      <c r="B9" s="135">
        <v>14250</v>
      </c>
      <c r="C9" s="135">
        <v>1187.5</v>
      </c>
      <c r="D9" s="115"/>
      <c r="E9" s="29"/>
      <c r="F9" s="29"/>
      <c r="G9" s="32"/>
      <c r="H9" s="19"/>
      <c r="I9" s="52"/>
      <c r="J9" s="29"/>
      <c r="K9" s="80"/>
      <c r="L9" s="80"/>
      <c r="M9" s="80"/>
      <c r="N9"/>
      <c r="O9"/>
      <c r="P9"/>
      <c r="Q9"/>
      <c r="R9"/>
      <c r="S9"/>
      <c r="T9"/>
      <c r="U9"/>
      <c r="V9"/>
      <c r="W9"/>
      <c r="X9"/>
      <c r="Y9"/>
    </row>
    <row r="10" spans="1:25" ht="17.100000000000001" customHeight="1" x14ac:dyDescent="0.2">
      <c r="A10" s="16" t="s">
        <v>35</v>
      </c>
      <c r="B10" s="135">
        <v>3750</v>
      </c>
      <c r="C10" s="135">
        <v>312.5</v>
      </c>
      <c r="D10" s="115"/>
      <c r="E10" s="161"/>
      <c r="F10" s="161"/>
      <c r="G10" s="32"/>
      <c r="H10" s="19"/>
      <c r="I10" s="52"/>
      <c r="J10" s="29"/>
      <c r="K10" s="80"/>
      <c r="L10" s="80"/>
      <c r="M10" s="80"/>
      <c r="N10"/>
      <c r="O10"/>
      <c r="P10"/>
      <c r="Q10"/>
      <c r="R10"/>
      <c r="S10"/>
      <c r="T10"/>
      <c r="U10"/>
      <c r="V10"/>
      <c r="W10"/>
      <c r="X10"/>
      <c r="Y10"/>
    </row>
    <row r="11" spans="1:25" ht="17.100000000000001" customHeight="1" x14ac:dyDescent="0.2">
      <c r="A11" s="160" t="s">
        <v>38</v>
      </c>
      <c r="B11" s="138">
        <v>2400</v>
      </c>
      <c r="C11" s="135">
        <v>200</v>
      </c>
      <c r="D11" s="115"/>
      <c r="E11" s="161"/>
      <c r="F11" s="161"/>
      <c r="G11" s="32"/>
      <c r="H11" s="19"/>
      <c r="I11" s="52"/>
      <c r="J11" s="29"/>
      <c r="K11" s="80"/>
      <c r="L11" s="80"/>
      <c r="M11" s="80"/>
      <c r="N11"/>
      <c r="O11"/>
      <c r="P11"/>
      <c r="Q11"/>
      <c r="R11"/>
      <c r="S11"/>
      <c r="T11"/>
      <c r="U11"/>
      <c r="V11"/>
      <c r="W11"/>
      <c r="X11"/>
      <c r="Y11"/>
    </row>
    <row r="12" spans="1:25" ht="17.100000000000001" customHeight="1" x14ac:dyDescent="0.2">
      <c r="A12" s="16" t="s">
        <v>46</v>
      </c>
      <c r="B12" s="138">
        <v>700</v>
      </c>
      <c r="C12" s="138">
        <v>58.333333333333336</v>
      </c>
      <c r="D12" s="115"/>
      <c r="E12" s="161"/>
      <c r="F12" s="161"/>
      <c r="G12" s="32"/>
      <c r="H12" s="19"/>
      <c r="I12" s="52"/>
      <c r="J12" s="29"/>
      <c r="K12" s="80"/>
      <c r="L12" s="80"/>
      <c r="M12" s="80"/>
      <c r="N12"/>
      <c r="O12"/>
      <c r="P12"/>
      <c r="Q12"/>
      <c r="R12"/>
      <c r="S12"/>
      <c r="T12"/>
      <c r="U12"/>
      <c r="V12"/>
      <c r="W12"/>
      <c r="X12"/>
      <c r="Y12"/>
    </row>
    <row r="13" spans="1:25" ht="17.100000000000001" customHeight="1" x14ac:dyDescent="0.2">
      <c r="A13" s="16" t="s">
        <v>40</v>
      </c>
      <c r="B13" s="155">
        <v>700</v>
      </c>
      <c r="C13" s="138">
        <v>58.333333333333336</v>
      </c>
      <c r="D13" s="115"/>
      <c r="E13" s="29"/>
      <c r="F13" s="29"/>
      <c r="G13" s="32"/>
      <c r="H13" s="19"/>
      <c r="I13" s="52"/>
      <c r="J13" s="29"/>
      <c r="K13" s="80"/>
      <c r="L13" s="80"/>
      <c r="M13" s="80"/>
      <c r="N13"/>
      <c r="O13"/>
      <c r="P13"/>
      <c r="Q13"/>
      <c r="R13"/>
      <c r="S13"/>
      <c r="T13"/>
      <c r="U13"/>
      <c r="V13"/>
      <c r="W13"/>
      <c r="X13"/>
      <c r="Y13"/>
    </row>
    <row r="14" spans="1:25" ht="17.100000000000001" customHeight="1" x14ac:dyDescent="0.2">
      <c r="A14" s="16"/>
      <c r="B14" s="139">
        <f>SUM(B4:B13)</f>
        <v>2355146.39</v>
      </c>
      <c r="C14" s="135"/>
      <c r="D14" s="29"/>
      <c r="E14" s="29"/>
      <c r="F14" s="29"/>
      <c r="G14" s="32"/>
      <c r="H14" s="19"/>
      <c r="I14" s="52"/>
      <c r="J14" s="29"/>
      <c r="K14" s="80"/>
      <c r="L14" s="80"/>
      <c r="M14" s="80"/>
      <c r="N14"/>
      <c r="O14"/>
      <c r="P14"/>
      <c r="Q14"/>
      <c r="R14"/>
      <c r="S14"/>
      <c r="T14"/>
      <c r="U14"/>
      <c r="V14"/>
      <c r="W14"/>
      <c r="X14"/>
      <c r="Y14"/>
    </row>
    <row r="15" spans="1:25" ht="17.100000000000001" customHeight="1" x14ac:dyDescent="0.2">
      <c r="A15" s="130" t="s">
        <v>153</v>
      </c>
      <c r="C15" s="135"/>
      <c r="D15" s="29"/>
      <c r="E15" s="161"/>
      <c r="F15" s="29"/>
      <c r="G15" s="32"/>
      <c r="H15" s="19"/>
      <c r="I15" s="52"/>
      <c r="J15" s="29"/>
      <c r="K15" s="80"/>
      <c r="L15" s="80"/>
      <c r="M15" s="80"/>
      <c r="N15"/>
      <c r="O15"/>
      <c r="P15"/>
      <c r="Q15"/>
      <c r="R15"/>
      <c r="S15"/>
      <c r="T15"/>
      <c r="U15"/>
      <c r="V15"/>
      <c r="W15"/>
      <c r="X15"/>
      <c r="Y15"/>
    </row>
    <row r="16" spans="1:25" ht="17.45" customHeight="1" x14ac:dyDescent="0.2">
      <c r="A16" s="27" t="s">
        <v>53</v>
      </c>
      <c r="B16" s="135">
        <v>28178.97</v>
      </c>
      <c r="C16" s="135">
        <v>2348.2474999999999</v>
      </c>
      <c r="D16" s="127"/>
      <c r="E16" s="161"/>
      <c r="F16" s="29"/>
      <c r="G16" s="32"/>
      <c r="H16" s="32"/>
      <c r="I16" s="29"/>
      <c r="J16" s="8"/>
      <c r="K16" s="80"/>
      <c r="L16" s="80"/>
      <c r="M16" s="80"/>
      <c r="N16"/>
      <c r="O16"/>
      <c r="P16"/>
      <c r="Q16"/>
      <c r="R16"/>
      <c r="S16"/>
      <c r="T16"/>
      <c r="U16"/>
      <c r="V16"/>
      <c r="W16"/>
      <c r="X16"/>
      <c r="Y16"/>
    </row>
    <row r="17" spans="1:25" ht="17.100000000000001" customHeight="1" x14ac:dyDescent="0.2">
      <c r="A17" s="27" t="s">
        <v>54</v>
      </c>
      <c r="B17" s="135">
        <v>21030.880000000001</v>
      </c>
      <c r="C17" s="135">
        <v>1752.5733333333335</v>
      </c>
      <c r="D17" s="127"/>
      <c r="E17" s="161"/>
      <c r="F17" s="29"/>
      <c r="G17" s="32"/>
      <c r="H17" s="32"/>
      <c r="I17" s="29"/>
      <c r="J17" s="8"/>
      <c r="K17" s="80"/>
      <c r="L17" s="80"/>
      <c r="M17" s="80"/>
      <c r="N17"/>
      <c r="O17"/>
      <c r="P17"/>
      <c r="Q17"/>
      <c r="R17"/>
      <c r="S17"/>
      <c r="T17"/>
      <c r="U17"/>
      <c r="V17"/>
      <c r="W17"/>
      <c r="X17"/>
      <c r="Y17"/>
    </row>
    <row r="18" spans="1:25" ht="17.100000000000001" customHeight="1" x14ac:dyDescent="0.2">
      <c r="A18" s="27" t="s">
        <v>72</v>
      </c>
      <c r="B18" s="135">
        <v>429696</v>
      </c>
      <c r="C18" s="135">
        <v>35808</v>
      </c>
      <c r="D18" s="127"/>
      <c r="E18" s="29"/>
      <c r="F18" s="29"/>
      <c r="G18" s="32"/>
      <c r="H18" s="32"/>
      <c r="I18" s="29"/>
      <c r="J18" s="8"/>
      <c r="K18" s="80"/>
      <c r="L18" s="80"/>
      <c r="M18" s="80"/>
      <c r="N18"/>
      <c r="O18"/>
      <c r="P18"/>
      <c r="Q18"/>
      <c r="R18"/>
      <c r="S18"/>
      <c r="T18"/>
      <c r="U18"/>
      <c r="V18"/>
      <c r="W18"/>
      <c r="X18"/>
      <c r="Y18"/>
    </row>
    <row r="19" spans="1:25" ht="17.100000000000001" customHeight="1" x14ac:dyDescent="0.2">
      <c r="A19" s="27" t="s">
        <v>71</v>
      </c>
      <c r="B19" s="135">
        <v>8482.5</v>
      </c>
      <c r="C19" s="135">
        <v>706.875</v>
      </c>
      <c r="D19" s="127"/>
      <c r="E19" s="29"/>
      <c r="F19" s="29"/>
      <c r="G19" s="32"/>
      <c r="H19" s="32"/>
      <c r="I19" s="29"/>
      <c r="J19" s="8"/>
      <c r="K19" s="80"/>
      <c r="L19" s="80"/>
      <c r="M19" s="80"/>
      <c r="N19"/>
      <c r="O19"/>
      <c r="P19"/>
      <c r="Q19"/>
      <c r="R19"/>
      <c r="S19"/>
      <c r="T19"/>
      <c r="U19"/>
      <c r="V19"/>
      <c r="W19"/>
      <c r="X19"/>
      <c r="Y19"/>
    </row>
    <row r="20" spans="1:25" ht="17.100000000000001" customHeight="1" x14ac:dyDescent="0.2">
      <c r="A20" s="27" t="s">
        <v>73</v>
      </c>
      <c r="B20" s="135">
        <v>22168.93</v>
      </c>
      <c r="C20" s="135">
        <v>1847.4108333333334</v>
      </c>
      <c r="D20" s="127"/>
      <c r="E20" s="29"/>
      <c r="F20" s="29"/>
      <c r="G20" s="32"/>
      <c r="H20" s="32"/>
      <c r="I20" s="29"/>
      <c r="J20" s="8"/>
      <c r="K20" s="80"/>
      <c r="L20" s="80"/>
      <c r="M20" s="80"/>
      <c r="N20"/>
      <c r="O20"/>
      <c r="P20"/>
      <c r="Q20"/>
      <c r="R20"/>
      <c r="S20"/>
      <c r="T20"/>
      <c r="U20"/>
      <c r="V20"/>
      <c r="W20"/>
      <c r="X20"/>
      <c r="Y20"/>
    </row>
    <row r="21" spans="1:25" ht="17.100000000000001" customHeight="1" x14ac:dyDescent="0.2">
      <c r="A21" s="27" t="s">
        <v>74</v>
      </c>
      <c r="B21" s="135">
        <v>16430.22</v>
      </c>
      <c r="C21" s="135">
        <v>1369.1850000000002</v>
      </c>
      <c r="D21" s="127"/>
      <c r="E21" s="29"/>
      <c r="F21" s="29"/>
      <c r="G21" s="32"/>
      <c r="H21" s="32"/>
      <c r="I21" s="29"/>
      <c r="J21" s="8"/>
      <c r="K21" s="80"/>
      <c r="L21" s="80"/>
      <c r="M21" s="80"/>
      <c r="N21"/>
      <c r="O21"/>
      <c r="P21"/>
      <c r="Q21"/>
      <c r="R21"/>
      <c r="S21"/>
      <c r="T21"/>
      <c r="U21"/>
      <c r="V21"/>
      <c r="W21"/>
      <c r="X21"/>
      <c r="Y21"/>
    </row>
    <row r="22" spans="1:25" ht="17.100000000000001" customHeight="1" x14ac:dyDescent="0.2">
      <c r="A22" s="27" t="s">
        <v>65</v>
      </c>
      <c r="B22" s="135">
        <v>26590</v>
      </c>
      <c r="C22" s="135">
        <v>2215.8333333333335</v>
      </c>
      <c r="D22" s="127"/>
      <c r="E22" s="29"/>
      <c r="F22" s="29"/>
      <c r="G22" s="32"/>
      <c r="H22" s="32"/>
      <c r="I22" s="29"/>
      <c r="J22" s="8"/>
      <c r="K22" s="80"/>
      <c r="L22" s="80"/>
      <c r="M22" s="80"/>
      <c r="N22"/>
      <c r="O22"/>
      <c r="P22"/>
      <c r="Q22"/>
      <c r="R22"/>
      <c r="S22"/>
      <c r="T22"/>
      <c r="U22"/>
      <c r="V22"/>
      <c r="W22"/>
      <c r="X22"/>
      <c r="Y22"/>
    </row>
    <row r="23" spans="1:25" ht="17.100000000000001" customHeight="1" x14ac:dyDescent="0.2">
      <c r="A23" s="27" t="s">
        <v>64</v>
      </c>
      <c r="B23" s="135">
        <v>21292.829999999998</v>
      </c>
      <c r="C23" s="135">
        <v>1774.4024999999999</v>
      </c>
      <c r="D23" s="127"/>
      <c r="E23" s="29"/>
      <c r="F23" s="29"/>
      <c r="G23" s="32"/>
      <c r="H23" s="32"/>
      <c r="I23" s="29"/>
      <c r="J23" s="8"/>
      <c r="K23" s="80"/>
      <c r="L23" s="80"/>
      <c r="M23" s="80"/>
      <c r="N23"/>
      <c r="O23"/>
      <c r="P23"/>
      <c r="Q23"/>
      <c r="R23"/>
      <c r="S23"/>
      <c r="T23"/>
      <c r="U23"/>
      <c r="V23"/>
      <c r="W23"/>
      <c r="X23"/>
      <c r="Y23"/>
    </row>
    <row r="24" spans="1:25" ht="17.100000000000001" customHeight="1" x14ac:dyDescent="0.2">
      <c r="A24" s="27" t="s">
        <v>83</v>
      </c>
      <c r="B24" s="135">
        <v>51246.400000000001</v>
      </c>
      <c r="C24" s="135">
        <v>4270.5333333333338</v>
      </c>
      <c r="D24" s="127"/>
      <c r="E24" s="29"/>
      <c r="F24" s="29"/>
      <c r="G24" s="32"/>
      <c r="H24" s="32"/>
      <c r="I24" s="29"/>
      <c r="J24" s="8"/>
      <c r="K24" s="80"/>
      <c r="L24" s="80"/>
      <c r="M24" s="80"/>
      <c r="N24"/>
      <c r="O24"/>
      <c r="P24"/>
      <c r="Q24"/>
      <c r="R24"/>
      <c r="S24"/>
      <c r="T24"/>
      <c r="U24"/>
      <c r="V24"/>
      <c r="W24"/>
      <c r="X24"/>
      <c r="Y24"/>
    </row>
    <row r="25" spans="1:25" ht="17.100000000000001" customHeight="1" x14ac:dyDescent="0.2">
      <c r="A25" s="27" t="s">
        <v>84</v>
      </c>
      <c r="B25" s="135">
        <v>76825.450000000012</v>
      </c>
      <c r="C25" s="135">
        <v>6402.1208333333343</v>
      </c>
      <c r="D25" s="127"/>
      <c r="E25" s="29"/>
      <c r="F25" s="29"/>
      <c r="G25" s="32"/>
      <c r="H25" s="32"/>
      <c r="I25" s="29"/>
      <c r="J25" s="8"/>
      <c r="K25" s="80"/>
      <c r="L25" s="80"/>
      <c r="M25" s="80"/>
      <c r="N25"/>
      <c r="O25"/>
      <c r="P25"/>
      <c r="Q25"/>
      <c r="R25"/>
      <c r="S25"/>
      <c r="T25"/>
      <c r="U25"/>
      <c r="V25"/>
      <c r="W25"/>
      <c r="X25"/>
      <c r="Y25"/>
    </row>
    <row r="26" spans="1:25" ht="17.100000000000001" customHeight="1" x14ac:dyDescent="0.2">
      <c r="A26" s="27" t="s">
        <v>85</v>
      </c>
      <c r="B26" s="135">
        <v>16116.49</v>
      </c>
      <c r="C26" s="135">
        <v>1343.0408333333332</v>
      </c>
      <c r="D26" s="127"/>
      <c r="E26" s="29"/>
      <c r="F26" s="29"/>
      <c r="G26" s="32"/>
      <c r="H26" s="32"/>
      <c r="I26" s="29"/>
      <c r="J26" s="8"/>
      <c r="K26" s="80"/>
      <c r="L26" s="80"/>
      <c r="M26" s="80"/>
      <c r="N26"/>
      <c r="O26"/>
      <c r="P26"/>
      <c r="Q26"/>
      <c r="R26"/>
      <c r="S26"/>
      <c r="T26"/>
      <c r="U26"/>
      <c r="V26"/>
      <c r="W26"/>
      <c r="X26"/>
      <c r="Y26"/>
    </row>
    <row r="27" spans="1:25" ht="17.100000000000001" customHeight="1" x14ac:dyDescent="0.2">
      <c r="A27" s="27" t="s">
        <v>89</v>
      </c>
      <c r="B27" s="135">
        <v>37901.050000000003</v>
      </c>
      <c r="C27" s="135">
        <v>3158.4208333333336</v>
      </c>
      <c r="D27" s="127"/>
      <c r="E27" s="29"/>
      <c r="F27" s="29"/>
      <c r="G27" s="32"/>
      <c r="H27" s="32"/>
      <c r="I27" s="29"/>
      <c r="J27" s="8"/>
      <c r="K27" s="80"/>
      <c r="L27" s="80"/>
      <c r="M27" s="80"/>
      <c r="N27"/>
      <c r="O27"/>
      <c r="P27"/>
      <c r="Q27"/>
      <c r="R27"/>
      <c r="S27"/>
      <c r="T27"/>
      <c r="U27"/>
      <c r="V27"/>
      <c r="W27"/>
      <c r="X27"/>
      <c r="Y27"/>
    </row>
    <row r="28" spans="1:25" ht="17.100000000000001" customHeight="1" x14ac:dyDescent="0.2">
      <c r="A28" s="27" t="s">
        <v>90</v>
      </c>
      <c r="B28" s="135">
        <v>167793.6</v>
      </c>
      <c r="C28" s="135">
        <v>13982.800000000001</v>
      </c>
      <c r="D28" s="127"/>
      <c r="E28" s="29"/>
      <c r="F28" s="29"/>
      <c r="G28" s="32"/>
      <c r="H28" s="32"/>
      <c r="I28" s="29"/>
      <c r="J28" s="8"/>
      <c r="K28" s="80"/>
      <c r="L28" s="80"/>
      <c r="M28" s="80"/>
      <c r="N28"/>
      <c r="O28"/>
      <c r="P28"/>
      <c r="Q28"/>
      <c r="R28"/>
      <c r="S28"/>
      <c r="T28"/>
      <c r="U28"/>
      <c r="V28"/>
      <c r="W28"/>
      <c r="X28"/>
      <c r="Y28"/>
    </row>
    <row r="29" spans="1:25" ht="17.100000000000001" customHeight="1" x14ac:dyDescent="0.2">
      <c r="A29" s="27" t="s">
        <v>91</v>
      </c>
      <c r="B29" s="135">
        <v>7599.21</v>
      </c>
      <c r="C29" s="135">
        <v>633.26750000000004</v>
      </c>
      <c r="D29" s="127"/>
      <c r="E29" s="29"/>
      <c r="F29" s="29"/>
      <c r="G29" s="32"/>
      <c r="H29" s="32"/>
      <c r="I29" s="29"/>
      <c r="J29" s="8"/>
      <c r="K29" s="80"/>
      <c r="L29" s="80"/>
      <c r="M29" s="80"/>
      <c r="N29"/>
      <c r="O29"/>
      <c r="P29"/>
      <c r="Q29"/>
      <c r="R29"/>
      <c r="S29"/>
      <c r="T29"/>
      <c r="U29"/>
      <c r="V29"/>
      <c r="W29"/>
      <c r="X29"/>
      <c r="Y29"/>
    </row>
    <row r="30" spans="1:25" ht="17.100000000000001" customHeight="1" x14ac:dyDescent="0.2">
      <c r="A30" s="27" t="s">
        <v>92</v>
      </c>
      <c r="B30" s="135">
        <v>16590.55</v>
      </c>
      <c r="C30" s="135">
        <v>1382.5458333333333</v>
      </c>
      <c r="D30" s="127"/>
      <c r="E30" s="29"/>
      <c r="F30" s="29"/>
      <c r="G30" s="32"/>
      <c r="H30" s="32"/>
      <c r="I30" s="29"/>
      <c r="J30" s="8"/>
      <c r="K30" s="80"/>
      <c r="L30" s="80"/>
      <c r="M30" s="80"/>
      <c r="N30"/>
      <c r="O30"/>
      <c r="P30"/>
      <c r="Q30"/>
      <c r="R30"/>
      <c r="S30"/>
      <c r="T30"/>
      <c r="U30"/>
      <c r="V30"/>
      <c r="W30"/>
      <c r="X30"/>
      <c r="Y30"/>
    </row>
    <row r="31" spans="1:25" ht="17.100000000000001" customHeight="1" x14ac:dyDescent="0.2">
      <c r="A31" s="16" t="s">
        <v>94</v>
      </c>
      <c r="B31" s="135">
        <v>32103.58</v>
      </c>
      <c r="C31" s="135">
        <v>2675.2983333333336</v>
      </c>
      <c r="D31" s="127"/>
      <c r="E31" s="29"/>
      <c r="F31" s="29"/>
      <c r="G31" s="32"/>
      <c r="H31" s="32"/>
      <c r="I31" s="29"/>
      <c r="J31" s="8"/>
      <c r="K31" s="80"/>
      <c r="L31" s="80"/>
      <c r="M31" s="80"/>
      <c r="N31"/>
      <c r="O31"/>
      <c r="P31"/>
      <c r="Q31"/>
      <c r="R31"/>
      <c r="S31"/>
      <c r="T31"/>
      <c r="U31"/>
      <c r="V31"/>
      <c r="W31"/>
      <c r="X31"/>
      <c r="Y31"/>
    </row>
    <row r="32" spans="1:25" ht="17.100000000000001" customHeight="1" x14ac:dyDescent="0.2">
      <c r="A32" s="27" t="s">
        <v>95</v>
      </c>
      <c r="B32" s="135">
        <v>17429.150000000001</v>
      </c>
      <c r="C32" s="135">
        <v>1452.4291666666668</v>
      </c>
      <c r="D32" s="127"/>
      <c r="E32" s="29"/>
      <c r="F32" s="29"/>
      <c r="G32" s="32"/>
      <c r="H32" s="32"/>
      <c r="I32" s="29"/>
      <c r="J32" s="8"/>
      <c r="K32" s="80"/>
      <c r="L32" s="80"/>
      <c r="M32" s="80"/>
      <c r="N32"/>
      <c r="O32"/>
      <c r="P32"/>
      <c r="Q32"/>
      <c r="R32"/>
      <c r="S32"/>
      <c r="T32"/>
      <c r="U32"/>
      <c r="V32"/>
      <c r="W32"/>
      <c r="X32"/>
      <c r="Y32"/>
    </row>
    <row r="33" spans="1:25" ht="17.100000000000001" customHeight="1" x14ac:dyDescent="0.2">
      <c r="A33" s="16" t="s">
        <v>96</v>
      </c>
      <c r="B33" s="135">
        <v>93580.840000000011</v>
      </c>
      <c r="C33" s="135">
        <v>7798.4033333333346</v>
      </c>
      <c r="D33" s="127"/>
      <c r="E33" s="29"/>
      <c r="F33" s="29"/>
      <c r="G33" s="32"/>
      <c r="H33" s="32"/>
      <c r="I33" s="29"/>
      <c r="J33" s="8"/>
      <c r="K33" s="80"/>
      <c r="L33" s="80"/>
      <c r="M33" s="80"/>
      <c r="N33"/>
      <c r="O33"/>
      <c r="P33"/>
      <c r="Q33"/>
      <c r="R33"/>
      <c r="S33"/>
      <c r="T33"/>
      <c r="U33"/>
      <c r="V33"/>
      <c r="W33"/>
      <c r="X33"/>
      <c r="Y33"/>
    </row>
    <row r="34" spans="1:25" ht="17.100000000000001" customHeight="1" x14ac:dyDescent="0.2">
      <c r="A34" s="16" t="s">
        <v>97</v>
      </c>
      <c r="B34" s="135">
        <v>192166.84999999998</v>
      </c>
      <c r="C34" s="135">
        <v>16013.904166666665</v>
      </c>
      <c r="D34" s="127"/>
      <c r="E34" s="29"/>
      <c r="F34" s="29"/>
      <c r="G34" s="32"/>
      <c r="H34" s="32"/>
      <c r="I34" s="29"/>
      <c r="J34" s="8"/>
      <c r="K34" s="80"/>
      <c r="L34" s="80"/>
      <c r="M34" s="80"/>
      <c r="N34"/>
      <c r="O34"/>
      <c r="P34"/>
      <c r="Q34"/>
      <c r="R34"/>
      <c r="S34"/>
      <c r="T34"/>
      <c r="U34"/>
      <c r="V34"/>
      <c r="W34"/>
      <c r="X34"/>
      <c r="Y34"/>
    </row>
    <row r="35" spans="1:25" ht="17.100000000000001" customHeight="1" x14ac:dyDescent="0.2">
      <c r="A35" s="27" t="s">
        <v>98</v>
      </c>
      <c r="B35" s="135">
        <v>2403.1900000000005</v>
      </c>
      <c r="C35" s="135">
        <v>200.26583333333338</v>
      </c>
      <c r="D35" s="127"/>
      <c r="E35" s="29"/>
      <c r="F35" s="29"/>
      <c r="G35" s="32"/>
      <c r="H35" s="32"/>
      <c r="I35" s="29"/>
      <c r="J35" s="8"/>
      <c r="K35" s="80"/>
      <c r="L35" s="80"/>
      <c r="M35" s="80"/>
      <c r="N35"/>
      <c r="O35"/>
      <c r="P35"/>
      <c r="Q35"/>
      <c r="R35"/>
      <c r="S35"/>
      <c r="T35"/>
      <c r="U35"/>
      <c r="V35"/>
      <c r="W35"/>
      <c r="X35"/>
      <c r="Y35"/>
    </row>
    <row r="36" spans="1:25" ht="17.100000000000001" customHeight="1" x14ac:dyDescent="0.2">
      <c r="A36" s="16" t="s">
        <v>100</v>
      </c>
      <c r="B36" s="141">
        <v>10696.220000000001</v>
      </c>
      <c r="C36" s="141">
        <v>972.38363636363647</v>
      </c>
      <c r="D36" s="127"/>
      <c r="E36" s="29"/>
      <c r="F36" s="29"/>
      <c r="G36" s="32"/>
      <c r="H36" s="32"/>
      <c r="I36" s="29"/>
      <c r="J36" s="8"/>
      <c r="K36" s="80"/>
      <c r="L36" s="80"/>
      <c r="M36" s="80"/>
      <c r="N36"/>
      <c r="O36"/>
      <c r="P36"/>
      <c r="Q36"/>
      <c r="R36"/>
      <c r="S36"/>
      <c r="T36"/>
      <c r="U36"/>
      <c r="V36"/>
      <c r="W36"/>
      <c r="X36"/>
      <c r="Y36"/>
    </row>
    <row r="37" spans="1:25" ht="17.100000000000001" customHeight="1" x14ac:dyDescent="0.2">
      <c r="A37" s="27" t="s">
        <v>66</v>
      </c>
      <c r="B37" s="135">
        <v>59700.3</v>
      </c>
      <c r="C37" s="135">
        <v>4975.0250000000005</v>
      </c>
      <c r="D37" s="127"/>
      <c r="E37" s="29"/>
      <c r="F37" s="29"/>
      <c r="G37" s="32"/>
      <c r="H37" s="32"/>
      <c r="I37" s="29"/>
      <c r="J37" s="8"/>
      <c r="K37" s="80"/>
      <c r="L37" s="80"/>
      <c r="M37" s="80"/>
      <c r="N37"/>
      <c r="O37"/>
      <c r="P37"/>
      <c r="Q37"/>
      <c r="R37"/>
      <c r="S37"/>
      <c r="T37"/>
      <c r="U37"/>
      <c r="V37"/>
      <c r="W37"/>
      <c r="X37"/>
      <c r="Y37"/>
    </row>
    <row r="38" spans="1:25" ht="17.100000000000001" customHeight="1" x14ac:dyDescent="0.2">
      <c r="A38" s="27" t="s">
        <v>68</v>
      </c>
      <c r="B38" s="135">
        <v>42839</v>
      </c>
      <c r="C38" s="135">
        <v>3569.9166666666665</v>
      </c>
      <c r="D38" s="127"/>
      <c r="E38" s="29"/>
      <c r="F38" s="29"/>
      <c r="G38" s="32"/>
      <c r="H38" s="32"/>
      <c r="I38" s="29"/>
      <c r="J38" s="8"/>
      <c r="K38" s="80"/>
      <c r="L38" s="80"/>
      <c r="M38" s="80"/>
      <c r="N38"/>
      <c r="O38"/>
      <c r="P38"/>
      <c r="Q38"/>
      <c r="R38"/>
      <c r="S38"/>
      <c r="T38"/>
      <c r="U38"/>
      <c r="V38"/>
      <c r="W38"/>
      <c r="X38"/>
      <c r="Y38"/>
    </row>
    <row r="39" spans="1:25" ht="17.100000000000001" customHeight="1" x14ac:dyDescent="0.2">
      <c r="A39" s="27" t="s">
        <v>87</v>
      </c>
      <c r="B39" s="135">
        <v>69761.5</v>
      </c>
      <c r="C39" s="135">
        <v>5813.458333333333</v>
      </c>
      <c r="D39" s="127"/>
      <c r="E39" s="29"/>
      <c r="F39" s="29"/>
      <c r="G39" s="32"/>
      <c r="H39" s="32"/>
      <c r="I39" s="29"/>
      <c r="J39" s="8"/>
      <c r="K39" s="80"/>
      <c r="L39" s="80"/>
      <c r="M39" s="80"/>
      <c r="N39"/>
      <c r="O39"/>
      <c r="P39"/>
      <c r="Q39"/>
      <c r="R39"/>
      <c r="S39"/>
      <c r="T39"/>
      <c r="U39"/>
      <c r="V39"/>
      <c r="W39"/>
      <c r="X39"/>
      <c r="Y39"/>
    </row>
    <row r="40" spans="1:25" ht="17.100000000000001" customHeight="1" x14ac:dyDescent="0.2">
      <c r="A40" s="27" t="s">
        <v>58</v>
      </c>
      <c r="B40" s="135">
        <v>69571.399999999994</v>
      </c>
      <c r="C40" s="135">
        <v>5797.6166666666659</v>
      </c>
      <c r="D40" s="127"/>
      <c r="E40" s="29"/>
      <c r="F40" s="29"/>
      <c r="G40" s="32"/>
      <c r="H40" s="32"/>
      <c r="I40" s="29"/>
      <c r="J40" s="8"/>
      <c r="K40" s="80"/>
      <c r="L40" s="80"/>
      <c r="M40" s="80"/>
      <c r="N40"/>
      <c r="O40"/>
      <c r="P40"/>
      <c r="Q40"/>
      <c r="R40"/>
      <c r="S40"/>
      <c r="T40"/>
      <c r="U40"/>
      <c r="V40"/>
      <c r="W40"/>
      <c r="X40"/>
      <c r="Y40"/>
    </row>
    <row r="41" spans="1:25" ht="17.100000000000001" customHeight="1" x14ac:dyDescent="0.2">
      <c r="A41" s="27" t="s">
        <v>59</v>
      </c>
      <c r="B41" s="135">
        <v>8374</v>
      </c>
      <c r="C41" s="135">
        <v>2791.3333333333335</v>
      </c>
      <c r="D41" s="127"/>
      <c r="E41" s="29"/>
      <c r="F41" s="29"/>
      <c r="G41" s="32"/>
      <c r="H41" s="32"/>
      <c r="I41" s="29"/>
      <c r="J41" s="8"/>
      <c r="K41" s="80"/>
      <c r="L41" s="80"/>
      <c r="M41" s="80"/>
      <c r="N41"/>
      <c r="O41"/>
      <c r="P41"/>
      <c r="Q41"/>
      <c r="R41"/>
      <c r="S41"/>
      <c r="T41"/>
      <c r="U41"/>
      <c r="V41"/>
      <c r="W41"/>
      <c r="X41"/>
      <c r="Y41"/>
    </row>
    <row r="42" spans="1:25" ht="17.100000000000001" customHeight="1" x14ac:dyDescent="0.2">
      <c r="A42" s="27" t="s">
        <v>62</v>
      </c>
      <c r="B42" s="135">
        <v>8600</v>
      </c>
      <c r="C42" s="135">
        <v>716.66666666666663</v>
      </c>
      <c r="D42" s="127"/>
      <c r="E42" s="29"/>
      <c r="F42" s="29"/>
      <c r="G42" s="32"/>
      <c r="H42" s="32"/>
      <c r="I42" s="29"/>
      <c r="J42" s="8"/>
      <c r="K42" s="80"/>
      <c r="L42" s="80"/>
      <c r="M42" s="80"/>
      <c r="N42"/>
      <c r="O42"/>
      <c r="P42"/>
      <c r="Q42"/>
      <c r="R42"/>
      <c r="S42"/>
      <c r="T42"/>
      <c r="U42"/>
      <c r="V42"/>
      <c r="W42"/>
      <c r="X42"/>
      <c r="Y42"/>
    </row>
    <row r="43" spans="1:25" ht="17.100000000000001" customHeight="1" x14ac:dyDescent="0.2">
      <c r="A43" s="27" t="s">
        <v>88</v>
      </c>
      <c r="B43" s="135">
        <v>51692.12999999999</v>
      </c>
      <c r="C43" s="135">
        <v>4307.6774999999989</v>
      </c>
      <c r="D43" s="127"/>
      <c r="E43" s="29"/>
      <c r="F43" s="29"/>
      <c r="G43" s="32"/>
      <c r="H43" s="32"/>
      <c r="I43" s="29"/>
      <c r="J43" s="8"/>
      <c r="K43" s="80"/>
      <c r="L43" s="80"/>
      <c r="M43" s="80"/>
      <c r="N43"/>
      <c r="O43"/>
      <c r="P43"/>
      <c r="Q43"/>
      <c r="R43"/>
      <c r="S43"/>
      <c r="T43"/>
      <c r="U43"/>
      <c r="V43"/>
      <c r="W43"/>
      <c r="X43"/>
      <c r="Y43"/>
    </row>
    <row r="44" spans="1:25" ht="17.100000000000001" customHeight="1" x14ac:dyDescent="0.2">
      <c r="A44" s="27" t="s">
        <v>79</v>
      </c>
      <c r="B44" s="135">
        <v>6713.99</v>
      </c>
      <c r="C44" s="135">
        <v>559.49916666666661</v>
      </c>
      <c r="D44" s="127"/>
      <c r="E44" s="29"/>
      <c r="F44" s="29"/>
      <c r="G44" s="32"/>
      <c r="H44" s="32"/>
      <c r="I44" s="29"/>
      <c r="J44" s="8"/>
      <c r="K44" s="80"/>
      <c r="L44" s="80"/>
      <c r="M44" s="80"/>
      <c r="N44"/>
      <c r="O44"/>
      <c r="P44"/>
      <c r="Q44"/>
      <c r="R44"/>
      <c r="S44"/>
      <c r="T44"/>
      <c r="U44"/>
      <c r="V44"/>
      <c r="W44"/>
      <c r="X44"/>
      <c r="Y44"/>
    </row>
    <row r="45" spans="1:25" ht="17.100000000000001" customHeight="1" x14ac:dyDescent="0.2">
      <c r="A45" s="39" t="s">
        <v>69</v>
      </c>
      <c r="B45" s="162">
        <v>36</v>
      </c>
      <c r="C45" s="135"/>
      <c r="D45" s="127"/>
      <c r="E45" s="29"/>
      <c r="F45" s="29"/>
      <c r="G45" s="32"/>
      <c r="H45" s="32"/>
      <c r="I45" s="29"/>
      <c r="J45" s="8"/>
      <c r="K45" s="80"/>
      <c r="L45" s="80"/>
      <c r="M45" s="80"/>
      <c r="N45"/>
      <c r="O45"/>
      <c r="P45"/>
      <c r="Q45"/>
      <c r="R45"/>
      <c r="S45"/>
      <c r="T45"/>
      <c r="U45"/>
      <c r="V45"/>
      <c r="W45"/>
      <c r="X45"/>
      <c r="Y45"/>
    </row>
    <row r="46" spans="1:25" ht="17.100000000000001" customHeight="1" x14ac:dyDescent="0.2">
      <c r="A46" s="27" t="s">
        <v>60</v>
      </c>
      <c r="B46" s="147">
        <v>873290.53</v>
      </c>
      <c r="C46" s="135"/>
      <c r="D46" s="127"/>
      <c r="E46" s="29"/>
      <c r="F46" s="29"/>
      <c r="G46" s="32"/>
      <c r="H46" s="32"/>
      <c r="I46" s="29"/>
      <c r="J46" s="8"/>
      <c r="K46" s="80"/>
      <c r="L46" s="80"/>
      <c r="M46" s="80"/>
      <c r="N46"/>
      <c r="O46"/>
      <c r="P46"/>
      <c r="Q46"/>
      <c r="R46"/>
      <c r="S46"/>
      <c r="T46"/>
      <c r="U46"/>
      <c r="V46"/>
      <c r="W46"/>
      <c r="X46"/>
      <c r="Y46"/>
    </row>
    <row r="47" spans="1:25" ht="17.100000000000001" customHeight="1" x14ac:dyDescent="0.2">
      <c r="A47" s="16"/>
      <c r="B47" s="139">
        <f>SUM(B16:B46)</f>
        <v>2486901.7599999998</v>
      </c>
      <c r="C47" s="135"/>
      <c r="D47" s="29"/>
      <c r="E47" s="29"/>
      <c r="F47" s="29"/>
      <c r="G47" s="32"/>
      <c r="H47" s="19"/>
      <c r="I47" s="52"/>
      <c r="J47" s="29"/>
      <c r="K47" s="80"/>
      <c r="L47" s="80"/>
      <c r="M47" s="80"/>
      <c r="N47"/>
      <c r="O47"/>
      <c r="P47"/>
      <c r="Q47"/>
      <c r="R47"/>
      <c r="S47"/>
      <c r="T47"/>
      <c r="U47"/>
      <c r="V47"/>
      <c r="W47"/>
      <c r="X47"/>
      <c r="Y47"/>
    </row>
    <row r="48" spans="1:25" ht="17.100000000000001" customHeight="1" x14ac:dyDescent="0.2">
      <c r="A48" s="16"/>
      <c r="B48" s="139"/>
      <c r="C48" s="135"/>
      <c r="D48" s="29"/>
      <c r="E48" s="29"/>
      <c r="F48" s="29"/>
      <c r="G48" s="32"/>
      <c r="H48" s="19"/>
      <c r="I48" s="52"/>
      <c r="J48" s="29"/>
      <c r="K48" s="80"/>
      <c r="L48" s="80"/>
      <c r="M48" s="80"/>
      <c r="N48"/>
      <c r="O48"/>
      <c r="P48"/>
      <c r="Q48"/>
      <c r="R48"/>
      <c r="S48"/>
      <c r="T48"/>
      <c r="U48"/>
      <c r="V48"/>
      <c r="W48"/>
      <c r="X48"/>
      <c r="Y48"/>
    </row>
    <row r="49" spans="1:25" ht="17.100000000000001" customHeight="1" x14ac:dyDescent="0.2">
      <c r="A49" s="130" t="s">
        <v>157</v>
      </c>
      <c r="B49" s="139">
        <f>B14-B47</f>
        <v>-131755.36999999965</v>
      </c>
      <c r="C49" s="135"/>
      <c r="D49" s="29"/>
      <c r="E49" s="29"/>
      <c r="F49" s="29"/>
      <c r="G49" s="32"/>
      <c r="H49" s="19"/>
      <c r="I49" s="52"/>
      <c r="J49" s="29"/>
      <c r="K49" s="80"/>
      <c r="L49" s="80"/>
      <c r="M49" s="80"/>
      <c r="N49"/>
      <c r="O49"/>
      <c r="P49"/>
      <c r="Q49"/>
      <c r="R49"/>
      <c r="S49"/>
      <c r="T49"/>
      <c r="U49"/>
      <c r="V49"/>
      <c r="W49"/>
      <c r="X49"/>
      <c r="Y49"/>
    </row>
    <row r="50" spans="1:25" ht="17.100000000000001" customHeight="1" x14ac:dyDescent="0.2">
      <c r="A50" s="16"/>
      <c r="C50" s="135"/>
      <c r="D50" s="29"/>
      <c r="E50" s="29"/>
      <c r="F50" s="29"/>
      <c r="G50" s="32"/>
      <c r="H50" s="19"/>
      <c r="I50" s="52"/>
      <c r="J50" s="29"/>
      <c r="K50" s="80"/>
      <c r="L50" s="80"/>
      <c r="M50" s="80"/>
      <c r="N50"/>
      <c r="O50"/>
      <c r="P50"/>
      <c r="Q50"/>
      <c r="R50"/>
      <c r="S50"/>
      <c r="T50"/>
      <c r="U50"/>
      <c r="V50"/>
      <c r="W50"/>
      <c r="X50"/>
      <c r="Y50"/>
    </row>
    <row r="51" spans="1:25" ht="17.100000000000001" customHeight="1" x14ac:dyDescent="0.2">
      <c r="A51" s="130" t="s">
        <v>155</v>
      </c>
      <c r="C51" s="135"/>
      <c r="D51" s="29"/>
      <c r="E51" s="29"/>
      <c r="F51" s="29"/>
      <c r="G51" s="32"/>
      <c r="H51" s="19"/>
      <c r="I51" s="52"/>
      <c r="J51" s="29"/>
      <c r="K51" s="80"/>
      <c r="L51" s="80"/>
      <c r="M51" s="80"/>
      <c r="N51"/>
      <c r="O51"/>
      <c r="P51"/>
      <c r="Q51"/>
      <c r="R51"/>
      <c r="S51"/>
      <c r="T51"/>
      <c r="U51"/>
      <c r="V51"/>
      <c r="W51"/>
      <c r="X51"/>
      <c r="Y51"/>
    </row>
    <row r="52" spans="1:25" ht="17.100000000000001" customHeight="1" x14ac:dyDescent="0.2">
      <c r="A52" s="27" t="s">
        <v>75</v>
      </c>
      <c r="B52" s="135">
        <v>76691.209999999992</v>
      </c>
      <c r="C52" s="135">
        <v>6390.934166666666</v>
      </c>
      <c r="D52" s="127"/>
      <c r="E52" s="29"/>
      <c r="F52" s="29"/>
      <c r="G52" s="32"/>
      <c r="H52" s="32"/>
      <c r="I52" s="29"/>
      <c r="J52" s="8"/>
      <c r="K52" s="80"/>
      <c r="L52" s="80"/>
      <c r="M52" s="80"/>
      <c r="N52"/>
      <c r="O52"/>
      <c r="P52"/>
      <c r="Q52"/>
      <c r="R52"/>
      <c r="S52"/>
      <c r="T52"/>
      <c r="U52"/>
      <c r="V52"/>
      <c r="W52"/>
      <c r="X52"/>
      <c r="Y52"/>
    </row>
    <row r="53" spans="1:25" ht="17.100000000000001" customHeight="1" x14ac:dyDescent="0.2">
      <c r="A53" s="27" t="s">
        <v>76</v>
      </c>
      <c r="B53" s="135">
        <v>127900.20000000001</v>
      </c>
      <c r="C53" s="135">
        <v>10658.35</v>
      </c>
      <c r="D53" s="127"/>
      <c r="E53" s="29"/>
      <c r="F53" s="29"/>
      <c r="G53" s="32"/>
      <c r="H53" s="32"/>
      <c r="I53" s="29"/>
      <c r="J53" s="8"/>
      <c r="K53" s="80"/>
      <c r="L53" s="80"/>
      <c r="M53" s="80"/>
      <c r="N53"/>
      <c r="O53"/>
      <c r="P53"/>
      <c r="Q53"/>
      <c r="R53"/>
      <c r="S53"/>
      <c r="T53"/>
      <c r="U53"/>
      <c r="V53"/>
      <c r="W53"/>
      <c r="X53"/>
      <c r="Y53"/>
    </row>
    <row r="54" spans="1:25" ht="17.100000000000001" customHeight="1" x14ac:dyDescent="0.2">
      <c r="A54" s="27" t="s">
        <v>77</v>
      </c>
      <c r="B54" s="135">
        <v>29360.04</v>
      </c>
      <c r="C54" s="135">
        <v>2446.67</v>
      </c>
      <c r="D54" s="127"/>
      <c r="E54" s="29"/>
      <c r="F54" s="29"/>
      <c r="G54" s="32"/>
      <c r="H54" s="32"/>
      <c r="I54" s="29"/>
      <c r="J54" s="8"/>
      <c r="K54" s="80"/>
      <c r="L54" s="80"/>
      <c r="M54" s="80"/>
      <c r="N54"/>
      <c r="O54"/>
      <c r="P54"/>
      <c r="Q54"/>
      <c r="R54"/>
      <c r="S54"/>
      <c r="T54"/>
      <c r="U54"/>
      <c r="V54"/>
      <c r="W54"/>
      <c r="X54"/>
      <c r="Y54"/>
    </row>
    <row r="55" spans="1:25" ht="17.100000000000001" customHeight="1" x14ac:dyDescent="0.2">
      <c r="A55" s="27" t="s">
        <v>78</v>
      </c>
      <c r="B55" s="135">
        <v>21587.360000000001</v>
      </c>
      <c r="C55" s="135">
        <v>1798.9466666666667</v>
      </c>
      <c r="D55" s="127"/>
      <c r="E55" s="29"/>
      <c r="F55" s="29"/>
      <c r="G55" s="32"/>
      <c r="H55" s="32"/>
      <c r="I55" s="29"/>
      <c r="J55" s="8"/>
      <c r="K55" s="80"/>
      <c r="L55" s="80"/>
      <c r="M55" s="80"/>
      <c r="N55"/>
      <c r="O55"/>
      <c r="P55"/>
      <c r="Q55"/>
      <c r="R55"/>
      <c r="S55"/>
      <c r="T55"/>
      <c r="U55"/>
      <c r="V55"/>
      <c r="W55"/>
      <c r="X55"/>
      <c r="Y55"/>
    </row>
    <row r="56" spans="1:25" ht="17.100000000000001" customHeight="1" x14ac:dyDescent="0.2">
      <c r="A56" s="27" t="s">
        <v>52</v>
      </c>
      <c r="B56" s="135">
        <v>68000</v>
      </c>
      <c r="C56" s="135">
        <v>13600</v>
      </c>
      <c r="D56" s="127"/>
      <c r="E56" s="29"/>
      <c r="F56" s="29"/>
      <c r="G56" s="32"/>
      <c r="H56" s="32"/>
      <c r="I56" s="29"/>
      <c r="J56" s="8"/>
      <c r="K56" s="80"/>
      <c r="L56" s="80"/>
      <c r="M56" s="80"/>
      <c r="N56"/>
      <c r="O56"/>
      <c r="P56"/>
      <c r="Q56"/>
      <c r="R56"/>
      <c r="S56"/>
      <c r="T56"/>
      <c r="U56"/>
      <c r="V56"/>
      <c r="W56"/>
      <c r="X56"/>
      <c r="Y56"/>
    </row>
    <row r="57" spans="1:25" ht="17.100000000000001" customHeight="1" x14ac:dyDescent="0.2">
      <c r="A57" s="39" t="s">
        <v>50</v>
      </c>
      <c r="B57" s="135">
        <v>10759.32</v>
      </c>
      <c r="C57" s="135">
        <v>896.61</v>
      </c>
      <c r="D57" s="127"/>
      <c r="E57" s="29"/>
      <c r="F57" s="29"/>
      <c r="G57" s="32"/>
      <c r="H57" s="32"/>
      <c r="I57" s="29"/>
      <c r="J57" s="8"/>
      <c r="K57" s="80"/>
      <c r="L57" s="80"/>
      <c r="M57" s="80"/>
      <c r="N57"/>
      <c r="O57"/>
      <c r="P57"/>
      <c r="Q57"/>
      <c r="R57"/>
      <c r="S57"/>
      <c r="T57"/>
      <c r="U57"/>
      <c r="V57"/>
      <c r="W57"/>
      <c r="X57"/>
      <c r="Y57"/>
    </row>
    <row r="58" spans="1:25" ht="17.100000000000001" customHeight="1" x14ac:dyDescent="0.2">
      <c r="A58" s="27" t="s">
        <v>51</v>
      </c>
      <c r="B58" s="135">
        <v>2310.8299999999995</v>
      </c>
      <c r="C58" s="135">
        <v>192.56916666666663</v>
      </c>
      <c r="D58" s="127"/>
      <c r="E58" s="29"/>
      <c r="F58" s="29"/>
      <c r="G58" s="32"/>
      <c r="H58" s="32"/>
      <c r="I58" s="29"/>
      <c r="J58" s="8"/>
      <c r="K58" s="80"/>
      <c r="L58" s="80"/>
      <c r="M58" s="80"/>
      <c r="N58"/>
      <c r="O58"/>
      <c r="P58"/>
      <c r="Q58"/>
      <c r="R58"/>
      <c r="S58"/>
      <c r="T58"/>
      <c r="U58"/>
      <c r="V58"/>
      <c r="W58"/>
      <c r="X58"/>
      <c r="Y58"/>
    </row>
    <row r="59" spans="1:25" ht="17.100000000000001" customHeight="1" x14ac:dyDescent="0.2">
      <c r="A59" s="39" t="s">
        <v>69</v>
      </c>
      <c r="B59" s="162">
        <f>358-36</f>
        <v>322</v>
      </c>
      <c r="C59" s="135">
        <v>29.833333333333357</v>
      </c>
      <c r="D59" s="127"/>
      <c r="E59" s="29"/>
      <c r="F59" s="29"/>
      <c r="G59" s="32"/>
      <c r="H59" s="32"/>
      <c r="I59" s="29"/>
      <c r="J59" s="8"/>
      <c r="K59" s="80"/>
      <c r="L59" s="80"/>
      <c r="M59" s="80"/>
      <c r="N59"/>
      <c r="O59"/>
      <c r="P59"/>
      <c r="Q59"/>
      <c r="R59"/>
      <c r="S59"/>
      <c r="T59"/>
      <c r="U59"/>
      <c r="V59"/>
      <c r="W59"/>
      <c r="X59"/>
      <c r="Y59"/>
    </row>
    <row r="60" spans="1:25" ht="17.100000000000001" customHeight="1" x14ac:dyDescent="0.2">
      <c r="A60" s="39" t="s">
        <v>56</v>
      </c>
      <c r="B60" s="135">
        <v>126.32</v>
      </c>
      <c r="C60" s="135">
        <v>10.526666666666666</v>
      </c>
      <c r="D60" s="127"/>
      <c r="E60" s="29"/>
      <c r="F60" s="29"/>
      <c r="G60" s="32"/>
      <c r="H60" s="32"/>
      <c r="I60" s="29"/>
      <c r="J60" s="8"/>
      <c r="K60" s="80"/>
      <c r="L60" s="80"/>
      <c r="M60" s="80"/>
      <c r="N60"/>
      <c r="O60"/>
      <c r="P60"/>
      <c r="Q60"/>
      <c r="R60"/>
      <c r="S60"/>
      <c r="T60"/>
      <c r="U60"/>
      <c r="V60"/>
      <c r="W60"/>
      <c r="X60"/>
      <c r="Y60"/>
    </row>
    <row r="61" spans="1:25" ht="17.100000000000001" customHeight="1" x14ac:dyDescent="0.2">
      <c r="A61" s="27" t="s">
        <v>57</v>
      </c>
      <c r="B61" s="135">
        <v>17971.650000000001</v>
      </c>
      <c r="C61" s="135">
        <v>1497.6375</v>
      </c>
      <c r="D61" s="127"/>
      <c r="E61" s="29"/>
      <c r="F61" s="29"/>
      <c r="G61" s="32"/>
      <c r="H61" s="32"/>
      <c r="I61" s="29"/>
      <c r="J61" s="8"/>
      <c r="K61" s="80"/>
      <c r="L61" s="80"/>
      <c r="M61" s="80"/>
      <c r="N61"/>
      <c r="O61"/>
      <c r="P61"/>
      <c r="Q61"/>
      <c r="R61"/>
      <c r="S61"/>
      <c r="T61"/>
      <c r="U61"/>
      <c r="V61"/>
      <c r="W61"/>
      <c r="X61"/>
      <c r="Y61"/>
    </row>
    <row r="62" spans="1:25" ht="17.100000000000001" customHeight="1" x14ac:dyDescent="0.2">
      <c r="A62" s="27" t="s">
        <v>63</v>
      </c>
      <c r="B62" s="135">
        <v>6011.19</v>
      </c>
      <c r="C62" s="135">
        <v>500.93249999999995</v>
      </c>
      <c r="D62" s="127"/>
      <c r="E62" s="29"/>
      <c r="F62" s="29"/>
      <c r="G62" s="32"/>
      <c r="H62" s="32"/>
      <c r="I62" s="29"/>
      <c r="J62" s="8"/>
      <c r="K62" s="80"/>
      <c r="L62" s="80"/>
      <c r="M62" s="80"/>
      <c r="N62"/>
      <c r="O62"/>
      <c r="P62"/>
      <c r="Q62"/>
      <c r="R62"/>
      <c r="S62"/>
      <c r="T62"/>
      <c r="U62"/>
      <c r="V62"/>
      <c r="W62"/>
      <c r="X62"/>
      <c r="Y62"/>
    </row>
    <row r="63" spans="1:25" ht="17.100000000000001" customHeight="1" x14ac:dyDescent="0.2">
      <c r="A63" s="27" t="s">
        <v>69</v>
      </c>
      <c r="B63" s="135">
        <v>1669</v>
      </c>
      <c r="C63" s="135">
        <v>139.08333333333334</v>
      </c>
      <c r="D63" s="127"/>
      <c r="E63" s="29"/>
      <c r="F63" s="29"/>
      <c r="G63" s="32"/>
      <c r="H63" s="32"/>
      <c r="I63" s="29"/>
      <c r="J63" s="8"/>
      <c r="K63" s="80"/>
      <c r="L63" s="80"/>
      <c r="M63" s="80"/>
      <c r="N63"/>
      <c r="O63"/>
      <c r="P63"/>
      <c r="Q63"/>
      <c r="R63"/>
      <c r="S63"/>
      <c r="T63"/>
      <c r="U63"/>
      <c r="V63"/>
      <c r="W63"/>
      <c r="X63"/>
      <c r="Y63"/>
    </row>
    <row r="64" spans="1:25" ht="17.100000000000001" customHeight="1" x14ac:dyDescent="0.2">
      <c r="A64" s="27" t="s">
        <v>70</v>
      </c>
      <c r="B64" s="135">
        <v>20404.809999999994</v>
      </c>
      <c r="C64" s="135">
        <v>1700.4008333333329</v>
      </c>
      <c r="D64" s="127"/>
      <c r="E64" s="29"/>
      <c r="F64" s="29"/>
      <c r="G64" s="32"/>
      <c r="H64" s="32"/>
      <c r="I64" s="29"/>
      <c r="J64" s="8"/>
      <c r="K64" s="80"/>
      <c r="L64" s="80"/>
      <c r="M64" s="80"/>
      <c r="N64"/>
      <c r="O64"/>
      <c r="P64"/>
      <c r="Q64"/>
      <c r="R64"/>
      <c r="S64"/>
      <c r="T64"/>
      <c r="U64"/>
      <c r="V64"/>
      <c r="W64"/>
      <c r="X64"/>
      <c r="Y64"/>
    </row>
    <row r="65" spans="1:25" ht="17.100000000000001" customHeight="1" x14ac:dyDescent="0.2">
      <c r="A65" s="27" t="s">
        <v>80</v>
      </c>
      <c r="B65" s="135">
        <v>9028.17</v>
      </c>
      <c r="C65" s="135">
        <v>752.34749999999997</v>
      </c>
      <c r="D65" s="127"/>
      <c r="E65" s="29"/>
      <c r="F65" s="29"/>
      <c r="G65" s="32"/>
      <c r="H65" s="32"/>
      <c r="I65" s="29"/>
      <c r="J65" s="8"/>
      <c r="K65" s="80"/>
      <c r="L65" s="80"/>
      <c r="M65" s="80"/>
      <c r="N65"/>
      <c r="O65"/>
      <c r="P65"/>
      <c r="Q65"/>
      <c r="R65"/>
      <c r="S65"/>
      <c r="T65"/>
      <c r="U65"/>
      <c r="V65"/>
      <c r="W65"/>
      <c r="X65"/>
      <c r="Y65"/>
    </row>
    <row r="66" spans="1:25" ht="17.100000000000001" customHeight="1" x14ac:dyDescent="0.2">
      <c r="A66" s="27" t="s">
        <v>81</v>
      </c>
      <c r="B66" s="135">
        <v>8133</v>
      </c>
      <c r="C66" s="135">
        <v>677.75</v>
      </c>
      <c r="D66" s="127"/>
      <c r="E66" s="29"/>
      <c r="F66" s="29"/>
      <c r="G66" s="32"/>
      <c r="H66" s="32"/>
      <c r="I66" s="29"/>
      <c r="J66" s="8"/>
      <c r="K66" s="80"/>
      <c r="L66" s="80"/>
      <c r="M66" s="80"/>
      <c r="N66"/>
      <c r="O66"/>
      <c r="P66"/>
      <c r="Q66"/>
      <c r="R66"/>
      <c r="S66"/>
      <c r="T66"/>
      <c r="U66"/>
      <c r="V66"/>
      <c r="W66"/>
      <c r="X66"/>
      <c r="Y66"/>
    </row>
    <row r="67" spans="1:25" ht="17.100000000000001" customHeight="1" x14ac:dyDescent="0.2">
      <c r="A67" s="27" t="s">
        <v>82</v>
      </c>
      <c r="B67" s="135">
        <v>9262.5</v>
      </c>
      <c r="C67" s="135">
        <f>B67/12</f>
        <v>771.875</v>
      </c>
      <c r="D67" s="127"/>
      <c r="E67" s="29"/>
      <c r="F67" s="29"/>
      <c r="G67" s="32"/>
      <c r="H67" s="32"/>
      <c r="I67" s="29"/>
      <c r="J67" s="8"/>
      <c r="K67" s="80"/>
      <c r="L67" s="80"/>
      <c r="M67" s="80"/>
      <c r="N67"/>
      <c r="O67"/>
      <c r="P67"/>
      <c r="Q67"/>
      <c r="R67"/>
      <c r="S67"/>
      <c r="T67"/>
      <c r="U67"/>
      <c r="V67"/>
      <c r="W67"/>
      <c r="X67"/>
      <c r="Y67"/>
    </row>
    <row r="68" spans="1:25" ht="17.100000000000001" customHeight="1" x14ac:dyDescent="0.2">
      <c r="A68" s="16" t="s">
        <v>99</v>
      </c>
      <c r="B68" s="135">
        <v>2201.4200000000005</v>
      </c>
      <c r="C68" s="135">
        <v>183.45166666666671</v>
      </c>
      <c r="D68" s="127"/>
      <c r="E68" s="29"/>
      <c r="F68" s="29"/>
      <c r="G68" s="32"/>
      <c r="H68" s="32"/>
      <c r="I68" s="29"/>
      <c r="J68" s="8"/>
      <c r="K68" s="80"/>
      <c r="L68" s="80"/>
      <c r="M68" s="80"/>
      <c r="N68"/>
      <c r="O68"/>
      <c r="P68"/>
      <c r="Q68"/>
      <c r="R68"/>
      <c r="S68"/>
      <c r="T68"/>
      <c r="U68"/>
      <c r="V68"/>
      <c r="W68"/>
      <c r="X68"/>
      <c r="Y68"/>
    </row>
    <row r="69" spans="1:25" ht="15.6" customHeight="1" x14ac:dyDescent="0.2">
      <c r="A69" s="27" t="s">
        <v>86</v>
      </c>
      <c r="B69" s="135">
        <v>775.04</v>
      </c>
      <c r="C69" s="135">
        <v>64.586666666666659</v>
      </c>
      <c r="D69" s="127"/>
      <c r="E69" s="29"/>
      <c r="F69" s="29"/>
      <c r="G69" s="32"/>
      <c r="H69" s="32"/>
      <c r="I69" s="29"/>
      <c r="J69" s="8"/>
      <c r="K69" s="80"/>
      <c r="L69" s="80"/>
      <c r="M69" s="80"/>
      <c r="N69"/>
      <c r="O69"/>
      <c r="P69"/>
      <c r="Q69"/>
      <c r="R69"/>
      <c r="S69"/>
      <c r="T69"/>
      <c r="U69"/>
      <c r="V69"/>
      <c r="W69"/>
      <c r="X69"/>
      <c r="Y69"/>
    </row>
    <row r="70" spans="1:25" ht="17.100000000000001" customHeight="1" x14ac:dyDescent="0.2">
      <c r="A70" s="27" t="s">
        <v>61</v>
      </c>
      <c r="B70" s="147">
        <v>13224.35</v>
      </c>
      <c r="C70" s="135"/>
      <c r="D70" s="127"/>
      <c r="E70" s="29"/>
      <c r="F70" s="29"/>
      <c r="G70" s="32"/>
      <c r="H70" s="32"/>
      <c r="I70" s="29"/>
      <c r="J70" s="8"/>
      <c r="K70" s="80"/>
      <c r="L70" s="80"/>
      <c r="M70" s="80"/>
      <c r="N70"/>
      <c r="O70"/>
      <c r="P70"/>
      <c r="Q70"/>
      <c r="R70"/>
      <c r="S70"/>
      <c r="T70"/>
      <c r="U70"/>
      <c r="V70"/>
      <c r="W70"/>
      <c r="X70"/>
      <c r="Y70"/>
    </row>
    <row r="71" spans="1:25" ht="17.100000000000001" customHeight="1" x14ac:dyDescent="0.2">
      <c r="A71" s="16"/>
      <c r="B71" s="139">
        <f>SUM(B52:B70)</f>
        <v>425738.41</v>
      </c>
      <c r="C71" s="135"/>
      <c r="D71" s="29"/>
      <c r="E71" s="29"/>
      <c r="F71" s="29"/>
      <c r="G71" s="32"/>
      <c r="H71" s="19"/>
      <c r="I71" s="52"/>
      <c r="J71" s="29"/>
      <c r="K71" s="80"/>
      <c r="L71" s="80"/>
      <c r="M71" s="80"/>
      <c r="N71"/>
      <c r="O71"/>
      <c r="P71"/>
      <c r="Q71"/>
      <c r="R71"/>
      <c r="S71"/>
      <c r="T71"/>
      <c r="U71"/>
      <c r="V71"/>
      <c r="W71"/>
      <c r="X71"/>
      <c r="Y71"/>
    </row>
    <row r="72" spans="1:25" ht="17.100000000000001" customHeight="1" x14ac:dyDescent="0.2">
      <c r="A72" s="16"/>
      <c r="B72" s="139"/>
      <c r="C72" s="135"/>
      <c r="D72" s="29"/>
      <c r="E72" s="29"/>
      <c r="F72" s="29"/>
      <c r="G72" s="32"/>
      <c r="H72" s="19"/>
      <c r="I72" s="52"/>
      <c r="J72" s="29"/>
      <c r="K72" s="80"/>
      <c r="L72" s="80"/>
      <c r="M72" s="80"/>
      <c r="N72"/>
      <c r="O72"/>
      <c r="P72"/>
      <c r="Q72"/>
      <c r="R72"/>
      <c r="S72"/>
      <c r="T72"/>
      <c r="U72"/>
      <c r="V72"/>
      <c r="W72"/>
      <c r="X72"/>
      <c r="Y72"/>
    </row>
    <row r="73" spans="1:25" ht="17.100000000000001" customHeight="1" x14ac:dyDescent="0.2">
      <c r="A73" s="130" t="s">
        <v>158</v>
      </c>
      <c r="B73" s="139">
        <f>B49-B71</f>
        <v>-557493.77999999956</v>
      </c>
      <c r="C73" s="135"/>
      <c r="D73" s="29"/>
      <c r="E73" s="29"/>
      <c r="F73" s="29"/>
      <c r="G73" s="32"/>
      <c r="H73" s="19"/>
      <c r="I73" s="52"/>
      <c r="J73" s="29"/>
      <c r="K73" s="80"/>
      <c r="L73" s="80"/>
      <c r="M73" s="80"/>
      <c r="N73"/>
      <c r="O73"/>
      <c r="P73"/>
      <c r="Q73"/>
      <c r="R73"/>
      <c r="S73"/>
      <c r="T73"/>
      <c r="U73"/>
      <c r="V73"/>
      <c r="W73"/>
      <c r="X73"/>
      <c r="Y73"/>
    </row>
    <row r="74" spans="1:25" ht="17.100000000000001" customHeight="1" x14ac:dyDescent="0.2">
      <c r="A74" s="16"/>
      <c r="B74" s="139"/>
      <c r="C74" s="135"/>
      <c r="D74" s="29"/>
      <c r="E74" s="29"/>
      <c r="F74" s="29"/>
      <c r="G74" s="32"/>
      <c r="H74" s="19"/>
      <c r="I74" s="52"/>
      <c r="J74" s="29"/>
      <c r="K74" s="80"/>
      <c r="L74" s="80"/>
      <c r="M74" s="80"/>
      <c r="N74"/>
      <c r="O74"/>
      <c r="P74"/>
      <c r="Q74"/>
      <c r="R74"/>
      <c r="S74"/>
      <c r="T74"/>
      <c r="U74"/>
      <c r="V74"/>
      <c r="W74"/>
      <c r="X74"/>
      <c r="Y74"/>
    </row>
    <row r="75" spans="1:25" ht="17.100000000000001" customHeight="1" x14ac:dyDescent="0.2">
      <c r="A75" s="130" t="s">
        <v>150</v>
      </c>
      <c r="B75" s="135"/>
      <c r="C75" s="135"/>
      <c r="D75" s="115"/>
      <c r="E75" s="29"/>
      <c r="F75" s="29"/>
      <c r="G75" s="32"/>
      <c r="H75" s="19"/>
      <c r="I75" s="52"/>
      <c r="J75" s="29"/>
      <c r="K75" s="80"/>
      <c r="L75" s="80"/>
      <c r="M75" s="80"/>
      <c r="N75"/>
      <c r="O75"/>
      <c r="P75"/>
      <c r="Q75"/>
      <c r="R75"/>
      <c r="S75"/>
      <c r="T75"/>
      <c r="U75"/>
      <c r="V75"/>
      <c r="W75"/>
      <c r="X75"/>
      <c r="Y75"/>
    </row>
    <row r="76" spans="1:25" ht="17.100000000000001" customHeight="1" x14ac:dyDescent="0.2">
      <c r="A76" s="16" t="s">
        <v>34</v>
      </c>
      <c r="B76" s="135">
        <v>677062.02999999991</v>
      </c>
      <c r="C76" s="135">
        <v>56421.835833333324</v>
      </c>
      <c r="D76" s="115"/>
      <c r="E76" s="29"/>
      <c r="F76" s="29"/>
      <c r="G76" s="32"/>
      <c r="H76" s="19"/>
      <c r="I76" s="52"/>
      <c r="J76" s="29"/>
      <c r="K76" s="80"/>
      <c r="L76" s="80"/>
      <c r="M76" s="80"/>
      <c r="N76"/>
      <c r="O76"/>
      <c r="P76"/>
      <c r="Q76"/>
      <c r="R76"/>
      <c r="S76"/>
      <c r="T76"/>
      <c r="U76"/>
      <c r="V76"/>
      <c r="W76"/>
      <c r="X76"/>
      <c r="Y76"/>
    </row>
    <row r="77" spans="1:25" ht="17.100000000000001" customHeight="1" x14ac:dyDescent="0.2">
      <c r="A77" s="16" t="s">
        <v>42</v>
      </c>
      <c r="B77" s="135">
        <v>51467.709999999992</v>
      </c>
      <c r="C77" s="135">
        <v>4288.975833333333</v>
      </c>
      <c r="D77" s="115"/>
      <c r="E77" s="29"/>
      <c r="F77" s="29"/>
      <c r="G77" s="32"/>
      <c r="H77" s="19"/>
      <c r="I77" s="52"/>
      <c r="J77" s="29"/>
      <c r="K77" s="80"/>
      <c r="L77" s="80"/>
      <c r="M77" s="80"/>
      <c r="N77"/>
      <c r="O77"/>
      <c r="P77"/>
      <c r="Q77"/>
      <c r="R77"/>
      <c r="S77"/>
      <c r="T77"/>
      <c r="U77"/>
      <c r="V77"/>
      <c r="W77"/>
      <c r="X77"/>
      <c r="Y77"/>
    </row>
    <row r="78" spans="1:25" ht="17.100000000000001" customHeight="1" x14ac:dyDescent="0.2">
      <c r="A78" s="16" t="s">
        <v>29</v>
      </c>
      <c r="B78" s="135">
        <v>150122.47</v>
      </c>
      <c r="C78" s="135">
        <v>12510.205833333333</v>
      </c>
      <c r="D78" s="115"/>
      <c r="E78" s="29"/>
      <c r="F78" s="29"/>
      <c r="G78" s="32"/>
      <c r="H78" s="19"/>
      <c r="I78" s="52"/>
      <c r="J78" s="29"/>
      <c r="K78" s="80"/>
      <c r="L78" s="80"/>
      <c r="M78" s="80"/>
      <c r="N78"/>
      <c r="O78"/>
      <c r="P78"/>
      <c r="Q78"/>
      <c r="R78"/>
      <c r="S78"/>
      <c r="T78"/>
      <c r="U78"/>
      <c r="V78"/>
      <c r="W78"/>
      <c r="X78"/>
      <c r="Y78"/>
    </row>
    <row r="79" spans="1:25" ht="17.100000000000001" customHeight="1" x14ac:dyDescent="0.2">
      <c r="A79" s="16" t="s">
        <v>31</v>
      </c>
      <c r="B79" s="135">
        <v>14546.04</v>
      </c>
      <c r="C79" s="135">
        <v>1212.17</v>
      </c>
      <c r="D79" s="115"/>
      <c r="E79" s="29"/>
      <c r="F79" s="29"/>
      <c r="G79" s="32"/>
      <c r="H79" s="19"/>
      <c r="I79" s="52"/>
      <c r="J79" s="29"/>
      <c r="K79" s="80"/>
      <c r="L79" s="80"/>
      <c r="M79" s="80"/>
      <c r="N79"/>
      <c r="O79"/>
      <c r="P79"/>
      <c r="Q79"/>
      <c r="R79"/>
      <c r="S79"/>
      <c r="T79"/>
      <c r="U79"/>
      <c r="V79"/>
      <c r="W79"/>
      <c r="X79"/>
      <c r="Y79"/>
    </row>
    <row r="80" spans="1:25" ht="17.100000000000001" customHeight="1" x14ac:dyDescent="0.2">
      <c r="A80" s="16" t="s">
        <v>36</v>
      </c>
      <c r="B80" s="135">
        <v>17167.26999999999</v>
      </c>
      <c r="C80" s="135">
        <v>1430.6058333333324</v>
      </c>
      <c r="D80" s="115"/>
      <c r="E80" s="29"/>
      <c r="F80" s="29"/>
      <c r="G80" s="32"/>
      <c r="H80" s="19"/>
      <c r="I80" s="52"/>
      <c r="J80" s="29"/>
      <c r="K80" s="80"/>
      <c r="L80" s="80"/>
      <c r="M80" s="80"/>
      <c r="N80"/>
      <c r="O80"/>
      <c r="P80"/>
      <c r="Q80"/>
      <c r="R80"/>
      <c r="S80"/>
      <c r="T80"/>
      <c r="U80"/>
      <c r="V80"/>
      <c r="W80"/>
      <c r="X80"/>
      <c r="Y80"/>
    </row>
    <row r="81" spans="1:25" ht="17.100000000000001" customHeight="1" x14ac:dyDescent="0.2">
      <c r="A81" s="16" t="s">
        <v>32</v>
      </c>
      <c r="B81" s="135">
        <v>2700</v>
      </c>
      <c r="C81" s="135">
        <v>225</v>
      </c>
      <c r="D81" s="115"/>
      <c r="E81" s="29"/>
      <c r="F81" s="29"/>
      <c r="G81" s="32"/>
      <c r="H81" s="19"/>
      <c r="I81" s="52"/>
      <c r="J81" s="29"/>
      <c r="K81" s="80"/>
      <c r="L81" s="80"/>
      <c r="M81" s="80"/>
      <c r="N81"/>
      <c r="O81"/>
      <c r="P81"/>
      <c r="Q81"/>
      <c r="R81"/>
      <c r="S81"/>
      <c r="T81"/>
      <c r="U81"/>
      <c r="V81"/>
      <c r="W81"/>
      <c r="X81"/>
      <c r="Y81"/>
    </row>
    <row r="82" spans="1:25" ht="17.100000000000001" customHeight="1" x14ac:dyDescent="0.2">
      <c r="A82" s="16" t="s">
        <v>28</v>
      </c>
      <c r="B82" s="135">
        <v>10587</v>
      </c>
      <c r="C82" s="135">
        <v>882.25</v>
      </c>
      <c r="D82" s="115"/>
      <c r="E82" s="29"/>
      <c r="F82" s="29"/>
      <c r="G82" s="32"/>
      <c r="H82" s="19"/>
      <c r="I82" s="52"/>
      <c r="J82" s="29"/>
      <c r="K82" s="80"/>
      <c r="L82" s="80"/>
      <c r="M82" s="80"/>
      <c r="N82"/>
      <c r="O82"/>
      <c r="P82"/>
      <c r="Q82"/>
      <c r="R82"/>
      <c r="S82"/>
      <c r="T82"/>
      <c r="U82"/>
      <c r="V82"/>
      <c r="W82"/>
      <c r="X82"/>
      <c r="Y82"/>
    </row>
    <row r="83" spans="1:25" ht="17.100000000000001" customHeight="1" x14ac:dyDescent="0.2">
      <c r="A83" s="16" t="s">
        <v>33</v>
      </c>
      <c r="B83" s="147">
        <v>422787</v>
      </c>
      <c r="C83" s="135">
        <v>35232.25</v>
      </c>
      <c r="D83" s="115"/>
      <c r="E83" s="29"/>
      <c r="F83" s="29"/>
      <c r="G83" s="32"/>
      <c r="H83" s="19"/>
      <c r="I83" s="52"/>
      <c r="J83" s="29"/>
      <c r="K83" s="80"/>
      <c r="L83" s="80"/>
      <c r="M83" s="80"/>
      <c r="N83"/>
      <c r="O83"/>
      <c r="P83"/>
      <c r="Q83"/>
      <c r="R83"/>
      <c r="S83"/>
      <c r="T83"/>
      <c r="U83"/>
      <c r="V83"/>
      <c r="W83"/>
      <c r="X83"/>
      <c r="Y83"/>
    </row>
    <row r="84" spans="1:25" ht="17.100000000000001" customHeight="1" x14ac:dyDescent="0.2">
      <c r="A84" s="130" t="s">
        <v>151</v>
      </c>
      <c r="B84" s="139">
        <f>SUM(B76:B83)</f>
        <v>1346439.52</v>
      </c>
      <c r="C84" s="135"/>
      <c r="D84" s="115"/>
      <c r="E84" s="29"/>
      <c r="F84" s="29"/>
      <c r="G84" s="32"/>
      <c r="H84" s="19"/>
      <c r="I84" s="52"/>
      <c r="J84" s="29"/>
      <c r="K84" s="80"/>
      <c r="L84" s="80"/>
      <c r="M84" s="80"/>
      <c r="N84"/>
      <c r="O84"/>
      <c r="P84"/>
      <c r="Q84"/>
      <c r="R84"/>
      <c r="S84"/>
      <c r="T84"/>
      <c r="U84"/>
      <c r="V84"/>
      <c r="W84"/>
      <c r="X84"/>
      <c r="Y84"/>
    </row>
    <row r="85" spans="1:25" ht="17.100000000000001" customHeight="1" x14ac:dyDescent="0.2">
      <c r="A85" s="130"/>
      <c r="B85" s="135"/>
      <c r="C85" s="135"/>
      <c r="D85" s="115"/>
      <c r="E85" s="29"/>
      <c r="F85" s="29"/>
      <c r="G85" s="32"/>
      <c r="H85" s="19"/>
      <c r="I85" s="52"/>
      <c r="J85" s="29"/>
      <c r="K85" s="80"/>
      <c r="L85" s="80"/>
      <c r="M85" s="80"/>
      <c r="N85"/>
      <c r="O85"/>
      <c r="P85"/>
      <c r="Q85"/>
      <c r="R85"/>
      <c r="S85"/>
      <c r="T85"/>
      <c r="U85"/>
      <c r="V85"/>
      <c r="W85"/>
      <c r="X85"/>
      <c r="Y85"/>
    </row>
    <row r="86" spans="1:25" ht="17.100000000000001" customHeight="1" x14ac:dyDescent="0.2">
      <c r="A86" s="130" t="s">
        <v>154</v>
      </c>
      <c r="B86" s="135"/>
      <c r="C86" s="135"/>
      <c r="D86" s="115"/>
      <c r="E86" s="29"/>
      <c r="F86" s="29"/>
      <c r="G86" s="32"/>
      <c r="H86" s="19"/>
      <c r="I86" s="52"/>
      <c r="J86" s="29"/>
      <c r="K86" s="80"/>
      <c r="L86" s="80"/>
      <c r="M86" s="80"/>
      <c r="N86"/>
      <c r="O86"/>
      <c r="P86"/>
      <c r="Q86"/>
      <c r="R86"/>
      <c r="S86"/>
      <c r="T86"/>
      <c r="U86"/>
      <c r="V86"/>
      <c r="W86"/>
      <c r="X86"/>
      <c r="Y86"/>
    </row>
    <row r="87" spans="1:25" ht="17.100000000000001" customHeight="1" x14ac:dyDescent="0.2">
      <c r="A87" s="27" t="s">
        <v>93</v>
      </c>
      <c r="B87" s="135">
        <v>10174.249999999998</v>
      </c>
      <c r="C87" s="135">
        <v>847.85416666666652</v>
      </c>
      <c r="D87" s="127"/>
      <c r="E87" s="29"/>
      <c r="F87" s="29"/>
      <c r="G87" s="32"/>
      <c r="H87" s="32"/>
      <c r="I87" s="29"/>
      <c r="J87" s="8"/>
      <c r="K87" s="80"/>
      <c r="L87" s="80"/>
      <c r="M87" s="80"/>
      <c r="N87"/>
      <c r="O87"/>
      <c r="P87"/>
      <c r="Q87"/>
      <c r="R87"/>
      <c r="S87"/>
      <c r="T87"/>
      <c r="U87"/>
      <c r="V87"/>
      <c r="W87"/>
      <c r="X87"/>
      <c r="Y87"/>
    </row>
    <row r="88" spans="1:25" ht="17.100000000000001" customHeight="1" x14ac:dyDescent="0.2">
      <c r="A88" s="27" t="s">
        <v>67</v>
      </c>
      <c r="B88" s="147">
        <v>55429.729999999996</v>
      </c>
      <c r="C88" s="135">
        <v>4619.144166666666</v>
      </c>
      <c r="D88" s="127"/>
      <c r="E88" s="29"/>
      <c r="F88" s="29"/>
      <c r="G88" s="32"/>
      <c r="H88" s="32"/>
      <c r="I88" s="29"/>
      <c r="J88" s="8"/>
      <c r="K88" s="80"/>
      <c r="L88" s="80"/>
      <c r="M88" s="80"/>
      <c r="N88"/>
      <c r="O88"/>
      <c r="P88"/>
      <c r="Q88"/>
      <c r="R88"/>
      <c r="S88"/>
      <c r="T88"/>
      <c r="U88"/>
      <c r="V88"/>
      <c r="W88"/>
      <c r="X88"/>
      <c r="Y88"/>
    </row>
    <row r="89" spans="1:25" ht="17.100000000000001" customHeight="1" x14ac:dyDescent="0.2">
      <c r="A89" s="130"/>
      <c r="B89" s="139">
        <f>SUM(B87:B88)</f>
        <v>65603.98</v>
      </c>
      <c r="C89" s="135"/>
      <c r="D89" s="115"/>
      <c r="E89" s="29"/>
      <c r="F89" s="29"/>
      <c r="G89" s="32"/>
      <c r="H89" s="19"/>
      <c r="I89" s="52"/>
      <c r="J89" s="29"/>
      <c r="K89" s="80"/>
      <c r="L89" s="80"/>
      <c r="M89" s="80"/>
      <c r="N89"/>
      <c r="O89"/>
      <c r="P89"/>
      <c r="Q89"/>
      <c r="R89"/>
      <c r="S89"/>
      <c r="T89"/>
      <c r="U89"/>
      <c r="V89"/>
      <c r="W89"/>
      <c r="X89"/>
      <c r="Y89"/>
    </row>
    <row r="90" spans="1:25" ht="17.100000000000001" customHeight="1" x14ac:dyDescent="0.2">
      <c r="A90" s="130"/>
      <c r="B90" s="135"/>
      <c r="C90" s="135"/>
      <c r="D90" s="115"/>
      <c r="E90" s="29"/>
      <c r="F90" s="29"/>
      <c r="G90" s="32"/>
      <c r="H90" s="19"/>
      <c r="I90" s="52"/>
      <c r="J90" s="29"/>
      <c r="K90" s="80"/>
      <c r="L90" s="80"/>
      <c r="M90" s="80"/>
      <c r="N90"/>
      <c r="O90"/>
      <c r="P90"/>
      <c r="Q90"/>
      <c r="R90"/>
      <c r="S90"/>
      <c r="T90"/>
      <c r="U90"/>
      <c r="V90"/>
      <c r="W90"/>
      <c r="X90"/>
      <c r="Y90"/>
    </row>
    <row r="91" spans="1:25" ht="17.100000000000001" customHeight="1" x14ac:dyDescent="0.2">
      <c r="A91" s="130" t="s">
        <v>156</v>
      </c>
      <c r="B91" s="139">
        <f>B73+B84-B89</f>
        <v>723341.76000000047</v>
      </c>
      <c r="C91" s="135"/>
      <c r="D91" s="115"/>
      <c r="E91" s="29"/>
      <c r="F91" s="29"/>
      <c r="G91" s="32"/>
      <c r="H91" s="19"/>
      <c r="I91" s="52"/>
      <c r="J91" s="29"/>
      <c r="K91" s="80"/>
      <c r="L91" s="80"/>
      <c r="M91" s="80"/>
      <c r="N91"/>
      <c r="O91"/>
      <c r="P91"/>
      <c r="Q91"/>
      <c r="R91"/>
      <c r="S91"/>
      <c r="T91"/>
      <c r="U91"/>
      <c r="V91"/>
      <c r="W91"/>
      <c r="X91"/>
      <c r="Y91"/>
    </row>
    <row r="92" spans="1:25" ht="17.100000000000001" customHeight="1" x14ac:dyDescent="0.2">
      <c r="A92" s="130"/>
      <c r="B92" s="135"/>
      <c r="C92" s="135"/>
      <c r="D92" s="115"/>
      <c r="E92" s="29"/>
      <c r="F92" s="29"/>
      <c r="G92" s="32"/>
      <c r="H92" s="19"/>
      <c r="I92" s="52"/>
      <c r="J92" s="29"/>
      <c r="K92" s="80"/>
      <c r="L92" s="80"/>
      <c r="M92" s="80"/>
      <c r="N92"/>
      <c r="O92"/>
      <c r="P92"/>
      <c r="Q92"/>
      <c r="R92"/>
      <c r="S92"/>
      <c r="T92"/>
      <c r="U92"/>
      <c r="V92"/>
      <c r="W92"/>
      <c r="X92"/>
      <c r="Y92"/>
    </row>
    <row r="93" spans="1:25" ht="17.100000000000001" customHeight="1" x14ac:dyDescent="0.2">
      <c r="A93" s="130" t="s">
        <v>152</v>
      </c>
      <c r="B93" s="135"/>
      <c r="C93" s="135"/>
      <c r="D93" s="115"/>
      <c r="E93" s="29"/>
      <c r="F93" s="29"/>
      <c r="G93" s="32"/>
      <c r="H93" s="19"/>
      <c r="I93" s="52"/>
      <c r="J93" s="29"/>
      <c r="K93" s="80"/>
      <c r="L93" s="80"/>
      <c r="M93" s="80"/>
      <c r="N93"/>
      <c r="O93"/>
      <c r="P93"/>
      <c r="Q93"/>
      <c r="R93"/>
      <c r="S93"/>
      <c r="T93"/>
      <c r="U93"/>
      <c r="V93"/>
      <c r="W93"/>
      <c r="X93"/>
      <c r="Y93"/>
    </row>
    <row r="94" spans="1:25" ht="17.100000000000001" customHeight="1" x14ac:dyDescent="0.2">
      <c r="A94" s="16" t="s">
        <v>26</v>
      </c>
      <c r="B94" s="135">
        <v>671723.01</v>
      </c>
      <c r="C94" s="135">
        <v>55976.917500000003</v>
      </c>
      <c r="D94" s="115"/>
      <c r="E94" s="29"/>
      <c r="F94" s="29"/>
      <c r="G94" s="32"/>
      <c r="H94" s="19"/>
      <c r="I94" s="52"/>
      <c r="J94" s="29"/>
      <c r="K94" s="80"/>
      <c r="L94" s="80"/>
      <c r="M94" s="80"/>
      <c r="N94"/>
      <c r="O94"/>
      <c r="P94"/>
      <c r="Q94"/>
      <c r="R94"/>
      <c r="S94"/>
      <c r="T94"/>
      <c r="U94"/>
      <c r="V94"/>
      <c r="W94"/>
      <c r="X94"/>
      <c r="Y94"/>
    </row>
    <row r="95" spans="1:25" ht="17.100000000000001" customHeight="1" x14ac:dyDescent="0.2">
      <c r="A95" s="16" t="s">
        <v>43</v>
      </c>
      <c r="B95" s="135">
        <v>160231</v>
      </c>
      <c r="C95" s="135">
        <v>13352.583333333334</v>
      </c>
      <c r="D95" s="115"/>
      <c r="E95" s="29"/>
      <c r="F95" s="29"/>
      <c r="G95" s="32"/>
      <c r="H95" s="19"/>
      <c r="I95" s="52"/>
      <c r="J95" s="29"/>
      <c r="K95" s="80"/>
      <c r="L95" s="80"/>
      <c r="M95" s="80"/>
      <c r="N95"/>
      <c r="O95"/>
      <c r="P95"/>
      <c r="Q95"/>
      <c r="R95"/>
      <c r="S95"/>
      <c r="T95"/>
      <c r="U95"/>
      <c r="V95"/>
      <c r="W95"/>
      <c r="X95"/>
      <c r="Y95"/>
    </row>
    <row r="96" spans="1:25" ht="17.100000000000001" customHeight="1" x14ac:dyDescent="0.2">
      <c r="A96" s="16" t="s">
        <v>37</v>
      </c>
      <c r="B96" s="135">
        <v>43262</v>
      </c>
      <c r="C96" s="135">
        <v>3605.1666666666665</v>
      </c>
      <c r="D96" s="115"/>
      <c r="E96" s="29"/>
      <c r="F96" s="29"/>
      <c r="G96" s="32"/>
      <c r="H96" s="19"/>
      <c r="I96" s="52"/>
      <c r="J96" s="29"/>
      <c r="K96" s="80"/>
      <c r="L96" s="80"/>
      <c r="M96" s="80"/>
      <c r="N96"/>
      <c r="O96"/>
      <c r="P96"/>
      <c r="Q96"/>
      <c r="R96"/>
      <c r="S96"/>
      <c r="T96"/>
      <c r="U96"/>
      <c r="V96"/>
      <c r="W96"/>
      <c r="X96"/>
      <c r="Y96"/>
    </row>
    <row r="97" spans="1:25" ht="17.100000000000001" customHeight="1" x14ac:dyDescent="0.2">
      <c r="A97" s="16" t="s">
        <v>41</v>
      </c>
      <c r="B97" s="135">
        <v>44853</v>
      </c>
      <c r="C97" s="135">
        <v>3737.75</v>
      </c>
      <c r="D97" s="115"/>
      <c r="E97" s="29"/>
      <c r="F97" s="29"/>
      <c r="G97" s="32"/>
      <c r="H97" s="19"/>
      <c r="I97" s="52"/>
      <c r="J97" s="29"/>
      <c r="K97" s="80"/>
      <c r="L97" s="80"/>
      <c r="M97" s="80"/>
      <c r="N97"/>
      <c r="O97"/>
      <c r="P97"/>
      <c r="Q97"/>
      <c r="R97"/>
      <c r="S97"/>
      <c r="T97"/>
      <c r="U97"/>
      <c r="V97"/>
      <c r="W97"/>
      <c r="X97"/>
      <c r="Y97"/>
    </row>
    <row r="98" spans="1:25" ht="17.100000000000001" customHeight="1" x14ac:dyDescent="0.2">
      <c r="A98" s="16" t="s">
        <v>47</v>
      </c>
      <c r="B98" s="147">
        <v>103093</v>
      </c>
      <c r="C98" s="141">
        <v>8591.0833333333339</v>
      </c>
      <c r="D98" s="115"/>
      <c r="E98" s="29"/>
      <c r="F98" s="29"/>
      <c r="G98" s="32"/>
      <c r="H98" s="19"/>
      <c r="I98" s="52"/>
      <c r="J98" s="29"/>
      <c r="K98" s="80"/>
      <c r="L98" s="80"/>
      <c r="M98" s="80"/>
      <c r="N98"/>
      <c r="O98"/>
      <c r="P98"/>
      <c r="Q98"/>
      <c r="R98"/>
      <c r="S98"/>
      <c r="T98"/>
      <c r="U98"/>
      <c r="V98"/>
      <c r="W98"/>
      <c r="X98"/>
      <c r="Y98"/>
    </row>
    <row r="99" spans="1:25" ht="17.100000000000001" customHeight="1" x14ac:dyDescent="0.2">
      <c r="A99" s="130" t="s">
        <v>159</v>
      </c>
      <c r="B99" s="139">
        <f>SUM(B94:B98)</f>
        <v>1023162.01</v>
      </c>
      <c r="D99" s="131"/>
      <c r="E99" s="132"/>
    </row>
    <row r="100" spans="1:25" ht="17.100000000000001" customHeight="1" x14ac:dyDescent="0.2"/>
    <row r="101" spans="1:25" ht="17.100000000000001" customHeight="1" x14ac:dyDescent="0.2"/>
    <row r="102" spans="1:25" ht="17.100000000000001" customHeight="1" x14ac:dyDescent="0.2">
      <c r="A102" s="133" t="s">
        <v>160</v>
      </c>
      <c r="B102" s="139">
        <f>B91+B99</f>
        <v>1746503.7700000005</v>
      </c>
      <c r="C102" s="135"/>
      <c r="D102" s="115"/>
      <c r="E102" s="29"/>
      <c r="F102" s="29"/>
      <c r="G102" s="32"/>
      <c r="H102" s="32"/>
      <c r="I102" s="53"/>
      <c r="J102" s="29"/>
      <c r="K102" s="80"/>
      <c r="L102" s="80"/>
      <c r="M102" s="80"/>
      <c r="N102"/>
      <c r="O102"/>
      <c r="P102"/>
      <c r="Q102"/>
      <c r="R102"/>
      <c r="S102"/>
      <c r="T102"/>
      <c r="U102"/>
      <c r="V102"/>
      <c r="W102"/>
      <c r="X102"/>
      <c r="Y102"/>
    </row>
    <row r="103" spans="1:25" ht="17.100000000000001" customHeight="1" x14ac:dyDescent="0.2">
      <c r="A103" s="56"/>
      <c r="B103" s="142"/>
      <c r="C103" s="142"/>
      <c r="D103" s="31"/>
      <c r="E103" s="31"/>
      <c r="F103" s="31"/>
      <c r="G103" s="31"/>
      <c r="H103" s="31"/>
      <c r="I103" s="31"/>
      <c r="J103" s="31"/>
      <c r="K103" s="29"/>
      <c r="L103" s="21"/>
      <c r="M103" s="21"/>
      <c r="N103" s="29"/>
      <c r="O103" s="29"/>
      <c r="P103" s="115"/>
      <c r="Q103" s="29"/>
      <c r="R103" s="29"/>
      <c r="S103" s="35"/>
      <c r="T103" s="36"/>
      <c r="U103" s="53"/>
      <c r="V103" s="29"/>
      <c r="W103" s="80"/>
      <c r="X103" s="80"/>
      <c r="Y103" s="80"/>
    </row>
    <row r="104" spans="1:25" ht="17.100000000000001" customHeight="1" x14ac:dyDescent="0.2">
      <c r="A104" s="22"/>
      <c r="B104" s="143"/>
      <c r="C104" s="143"/>
      <c r="D104" s="37"/>
      <c r="E104" s="37"/>
      <c r="F104" s="37"/>
      <c r="G104" s="37"/>
      <c r="H104" s="37"/>
      <c r="I104" s="37"/>
      <c r="J104" s="37"/>
      <c r="K104" s="22"/>
      <c r="L104" s="22"/>
      <c r="M104" s="22"/>
      <c r="N104" s="52"/>
      <c r="O104" s="22"/>
      <c r="P104" s="115"/>
      <c r="Q104" s="29"/>
      <c r="R104" s="29"/>
      <c r="S104" s="14"/>
      <c r="T104" s="22"/>
      <c r="U104" s="21"/>
      <c r="V104" s="21"/>
      <c r="W104" s="80"/>
      <c r="X104" s="80"/>
      <c r="Y104" s="80"/>
    </row>
    <row r="137" spans="1:25" ht="17.100000000000001" customHeight="1" x14ac:dyDescent="0.2">
      <c r="A137" s="14" t="s">
        <v>101</v>
      </c>
      <c r="B137" s="144">
        <f>SUM(B57:B136)</f>
        <v>7310700.7800000012</v>
      </c>
      <c r="C137" s="144">
        <f>SUM(C57:C136)</f>
        <v>210351.39666666667</v>
      </c>
      <c r="D137" s="120"/>
      <c r="E137" s="40"/>
      <c r="F137" s="29"/>
      <c r="G137" s="32">
        <f>SUM(G57:G136)</f>
        <v>0</v>
      </c>
      <c r="H137" s="32">
        <f>SUM(H57:H136)</f>
        <v>0</v>
      </c>
      <c r="I137" s="29">
        <f>SUM(I57:I136)</f>
        <v>0</v>
      </c>
      <c r="J137" s="29">
        <f>SUM(J57:J136)</f>
        <v>0</v>
      </c>
      <c r="K137" s="80"/>
      <c r="L137" s="80"/>
      <c r="M137" s="80"/>
      <c r="N137"/>
      <c r="O137"/>
      <c r="P137"/>
      <c r="Q137"/>
      <c r="R137"/>
      <c r="S137"/>
      <c r="T137"/>
      <c r="U137"/>
      <c r="V137"/>
      <c r="W137"/>
      <c r="X137"/>
      <c r="Y137"/>
    </row>
    <row r="138" spans="1:25" ht="17.100000000000001" customHeight="1" x14ac:dyDescent="0.2">
      <c r="A138" s="14"/>
      <c r="B138" s="144"/>
      <c r="C138" s="144"/>
      <c r="D138" s="40"/>
      <c r="E138" s="40"/>
      <c r="F138" s="40"/>
      <c r="G138" s="40"/>
      <c r="H138" s="40"/>
      <c r="I138" s="40"/>
      <c r="J138" s="40"/>
      <c r="K138" s="29"/>
      <c r="L138" s="29"/>
      <c r="M138" s="29"/>
      <c r="N138" s="29"/>
      <c r="O138" s="29"/>
      <c r="P138" s="115"/>
      <c r="Q138" s="29"/>
      <c r="R138" s="29"/>
      <c r="S138" s="35"/>
      <c r="T138" s="22"/>
      <c r="U138" s="29"/>
      <c r="V138" s="29"/>
      <c r="W138" s="80"/>
      <c r="X138" s="80"/>
      <c r="Y138" s="80"/>
    </row>
    <row r="139" spans="1:25" s="22" customFormat="1" ht="17.100000000000001" customHeight="1" x14ac:dyDescent="0.2">
      <c r="B139" s="143"/>
      <c r="C139" s="143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121"/>
      <c r="Q139" s="37"/>
      <c r="R139" s="29"/>
      <c r="S139" s="14"/>
      <c r="U139" s="21"/>
      <c r="V139" s="29"/>
      <c r="W139" s="80"/>
      <c r="X139" s="80"/>
      <c r="Y139" s="80"/>
    </row>
    <row r="140" spans="1:25" s="22" customFormat="1" ht="17.100000000000001" customHeight="1" x14ac:dyDescent="0.2">
      <c r="B140" s="145"/>
      <c r="C140" s="145"/>
      <c r="D140" s="42"/>
      <c r="E140" s="42"/>
      <c r="F140" s="42"/>
      <c r="G140" s="42"/>
      <c r="H140" s="42"/>
      <c r="I140" s="42"/>
      <c r="N140" s="37"/>
      <c r="P140" s="115"/>
      <c r="Q140" s="29"/>
      <c r="R140" s="29"/>
      <c r="S140" s="14"/>
      <c r="U140" s="21"/>
      <c r="V140" s="21"/>
      <c r="W140" s="80"/>
      <c r="X140" s="80"/>
      <c r="Y140" s="80"/>
    </row>
    <row r="141" spans="1:25" s="1" customFormat="1" ht="39.950000000000003" customHeight="1" x14ac:dyDescent="0.2">
      <c r="A141" s="38" t="s">
        <v>102</v>
      </c>
      <c r="B141" s="146" t="s">
        <v>146</v>
      </c>
      <c r="C141" s="146" t="s">
        <v>145</v>
      </c>
      <c r="D141" s="122"/>
      <c r="E141" s="9"/>
      <c r="F141" s="47"/>
      <c r="G141" s="43"/>
      <c r="H141" s="43"/>
      <c r="I141" s="43"/>
      <c r="J141" s="43"/>
      <c r="K141" s="81"/>
      <c r="L141" s="81"/>
      <c r="M141" s="81"/>
    </row>
    <row r="142" spans="1:25" s="1" customFormat="1" ht="17.100000000000001" customHeight="1" x14ac:dyDescent="0.25">
      <c r="A142" s="48" t="s">
        <v>103</v>
      </c>
      <c r="B142" s="135">
        <v>104703.29000000001</v>
      </c>
      <c r="C142" s="142">
        <f t="shared" ref="C142:C151" si="0">B142/$B$154</f>
        <v>9.8875231466065173E-3</v>
      </c>
      <c r="D142" s="123"/>
      <c r="E142" s="83"/>
      <c r="F142" s="47"/>
      <c r="G142" s="43"/>
      <c r="H142" s="43"/>
      <c r="I142" s="43"/>
      <c r="J142" s="43"/>
      <c r="K142" s="81"/>
      <c r="L142" s="81"/>
      <c r="M142" s="81"/>
    </row>
    <row r="143" spans="1:25" s="61" customFormat="1" ht="17.100000000000001" customHeight="1" x14ac:dyDescent="0.25">
      <c r="A143" s="61" t="s">
        <v>104</v>
      </c>
      <c r="B143" s="135">
        <v>3897.5</v>
      </c>
      <c r="C143" s="142">
        <f t="shared" si="0"/>
        <v>3.6805549724272177E-4</v>
      </c>
      <c r="D143" s="123"/>
      <c r="E143" s="29"/>
      <c r="F143" s="29"/>
      <c r="G143" s="62"/>
      <c r="H143" s="29"/>
      <c r="I143" s="29"/>
      <c r="J143" s="29"/>
      <c r="K143" s="80"/>
      <c r="L143" s="80"/>
      <c r="M143" s="80"/>
    </row>
    <row r="144" spans="1:25" s="61" customFormat="1" ht="17.100000000000001" customHeight="1" x14ac:dyDescent="0.25">
      <c r="A144" s="61" t="s">
        <v>105</v>
      </c>
      <c r="B144" s="135">
        <v>80922.91</v>
      </c>
      <c r="C144" s="142">
        <f t="shared" si="0"/>
        <v>7.6418529514760804E-3</v>
      </c>
      <c r="D144" s="123"/>
      <c r="E144" s="29"/>
      <c r="F144" s="29"/>
      <c r="G144" s="62"/>
      <c r="H144" s="29"/>
      <c r="I144" s="29"/>
      <c r="J144" s="29"/>
      <c r="K144" s="80"/>
      <c r="L144" s="80"/>
      <c r="M144" s="80"/>
    </row>
    <row r="145" spans="1:25" s="61" customFormat="1" ht="17.100000000000001" customHeight="1" x14ac:dyDescent="0.25">
      <c r="A145" s="61" t="s">
        <v>106</v>
      </c>
      <c r="B145" s="135">
        <v>207384.94999999998</v>
      </c>
      <c r="C145" s="142">
        <f t="shared" si="0"/>
        <v>1.9584136213702884E-2</v>
      </c>
      <c r="D145" s="123"/>
      <c r="E145" s="29"/>
      <c r="F145" s="29"/>
      <c r="G145" s="62"/>
      <c r="H145" s="29"/>
      <c r="I145" s="29"/>
      <c r="J145" s="29"/>
      <c r="K145" s="80"/>
      <c r="L145" s="80"/>
      <c r="M145" s="80"/>
    </row>
    <row r="146" spans="1:25" s="48" customFormat="1" ht="17.100000000000001" customHeight="1" x14ac:dyDescent="0.25">
      <c r="A146" s="48" t="s">
        <v>107</v>
      </c>
      <c r="B146" s="135">
        <v>7672.5</v>
      </c>
      <c r="C146" s="142">
        <f t="shared" si="0"/>
        <v>7.2454286147396606E-4</v>
      </c>
      <c r="D146" s="123"/>
      <c r="E146" s="29"/>
      <c r="F146" s="29"/>
      <c r="G146" s="62"/>
      <c r="H146" s="29"/>
      <c r="I146" s="29"/>
      <c r="J146" s="29"/>
      <c r="K146" s="80"/>
      <c r="L146" s="80"/>
      <c r="M146" s="80"/>
    </row>
    <row r="147" spans="1:25" s="48" customFormat="1" ht="17.100000000000001" customHeight="1" x14ac:dyDescent="0.25">
      <c r="A147" s="48" t="s">
        <v>108</v>
      </c>
      <c r="B147" s="135">
        <v>5433.5</v>
      </c>
      <c r="C147" s="142">
        <f t="shared" si="0"/>
        <v>5.1310572014581877E-4</v>
      </c>
      <c r="D147" s="123"/>
      <c r="E147" s="29"/>
      <c r="F147" s="29"/>
      <c r="G147" s="62"/>
      <c r="H147" s="29"/>
      <c r="I147" s="29"/>
      <c r="J147" s="29"/>
      <c r="K147" s="80"/>
      <c r="L147" s="80"/>
      <c r="M147" s="80"/>
    </row>
    <row r="148" spans="1:25" s="61" customFormat="1" ht="17.100000000000001" customHeight="1" x14ac:dyDescent="0.25">
      <c r="A148" s="87" t="s">
        <v>109</v>
      </c>
      <c r="B148" s="135">
        <v>4196.3999999999996</v>
      </c>
      <c r="C148" s="142">
        <f t="shared" si="0"/>
        <v>3.9628174179072678E-4</v>
      </c>
      <c r="D148" s="123"/>
      <c r="E148" s="29"/>
      <c r="F148" s="29"/>
      <c r="G148" s="62"/>
      <c r="H148" s="29"/>
      <c r="I148" s="29"/>
      <c r="J148" s="29"/>
      <c r="K148" s="80"/>
      <c r="L148" s="80"/>
      <c r="M148" s="80"/>
    </row>
    <row r="149" spans="1:25" s="61" customFormat="1" ht="17.100000000000001" customHeight="1" x14ac:dyDescent="0.25">
      <c r="A149" s="61" t="s">
        <v>110</v>
      </c>
      <c r="B149" s="135">
        <v>160770.65</v>
      </c>
      <c r="C149" s="142">
        <f t="shared" si="0"/>
        <v>1.5182173579932158E-2</v>
      </c>
      <c r="D149" s="123"/>
      <c r="E149" s="29"/>
      <c r="F149" s="29"/>
      <c r="G149" s="62"/>
      <c r="H149" s="29"/>
      <c r="I149" s="29"/>
      <c r="J149" s="29"/>
      <c r="K149" s="80"/>
      <c r="L149" s="80"/>
      <c r="M149" s="80"/>
    </row>
    <row r="150" spans="1:25" s="61" customFormat="1" ht="17.100000000000001" customHeight="1" x14ac:dyDescent="0.25">
      <c r="A150" s="65" t="s">
        <v>111</v>
      </c>
      <c r="B150" s="135">
        <v>281194.77</v>
      </c>
      <c r="C150" s="142">
        <f t="shared" si="0"/>
        <v>2.6554273481565822E-2</v>
      </c>
      <c r="D150" s="123"/>
      <c r="E150" s="29"/>
      <c r="F150" s="29"/>
      <c r="G150" s="62"/>
      <c r="H150" s="29"/>
      <c r="I150" s="29"/>
      <c r="J150" s="29"/>
      <c r="K150" s="80"/>
      <c r="L150" s="80"/>
      <c r="M150" s="80"/>
    </row>
    <row r="151" spans="1:25" s="61" customFormat="1" ht="17.100000000000001" customHeight="1" x14ac:dyDescent="0.25">
      <c r="A151" s="128" t="s">
        <v>112</v>
      </c>
      <c r="B151" s="147">
        <v>2422558.3899999997</v>
      </c>
      <c r="C151" s="148">
        <f t="shared" si="0"/>
        <v>0.22877124639665872</v>
      </c>
      <c r="D151" s="123"/>
      <c r="E151" s="29"/>
      <c r="F151" s="29"/>
      <c r="G151" s="62"/>
      <c r="H151" s="29"/>
      <c r="I151" s="29"/>
      <c r="J151" s="29"/>
      <c r="K151" s="80"/>
      <c r="L151" s="80"/>
      <c r="M151" s="80"/>
    </row>
    <row r="152" spans="1:25" s="61" customFormat="1" ht="17.100000000000001" customHeight="1" x14ac:dyDescent="0.2">
      <c r="A152" s="60" t="s">
        <v>113</v>
      </c>
      <c r="B152" s="135">
        <f>SUM(B142:B151)</f>
        <v>3278734.86</v>
      </c>
      <c r="C152" s="135"/>
      <c r="D152" s="115"/>
      <c r="E152" s="29"/>
      <c r="F152" s="29"/>
      <c r="G152" s="62"/>
      <c r="H152" s="29"/>
      <c r="I152" s="29"/>
      <c r="J152" s="29"/>
      <c r="K152" s="80"/>
      <c r="L152" s="80"/>
      <c r="M152" s="80"/>
    </row>
    <row r="153" spans="1:25" s="61" customFormat="1" ht="17.100000000000001" customHeight="1" x14ac:dyDescent="0.2">
      <c r="A153" s="60"/>
      <c r="B153" s="135"/>
      <c r="C153" s="135"/>
      <c r="D153" s="115"/>
      <c r="E153" s="29"/>
      <c r="F153" s="29"/>
      <c r="G153" s="62"/>
      <c r="H153" s="29"/>
      <c r="I153" s="29"/>
      <c r="J153" s="29"/>
      <c r="K153" s="80"/>
      <c r="L153" s="80"/>
      <c r="M153" s="80"/>
    </row>
    <row r="154" spans="1:25" s="61" customFormat="1" ht="17.100000000000001" customHeight="1" x14ac:dyDescent="0.2">
      <c r="A154" s="60" t="s">
        <v>144</v>
      </c>
      <c r="B154" s="135">
        <f>B137+B152</f>
        <v>10589435.640000001</v>
      </c>
      <c r="C154" s="135"/>
      <c r="D154" s="115"/>
      <c r="E154" s="29"/>
      <c r="F154" s="29"/>
      <c r="G154" s="62"/>
      <c r="H154" s="29"/>
      <c r="I154" s="29"/>
      <c r="J154" s="29"/>
      <c r="K154" s="79"/>
      <c r="L154" s="79"/>
      <c r="M154" s="79"/>
    </row>
    <row r="155" spans="1:25" s="61" customFormat="1" ht="17.100000000000001" customHeight="1" x14ac:dyDescent="0.2">
      <c r="B155" s="135"/>
      <c r="C155" s="135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115"/>
      <c r="Q155" s="29"/>
      <c r="R155" s="29"/>
      <c r="S155" s="62"/>
      <c r="T155" s="29"/>
      <c r="U155" s="29"/>
      <c r="V155" s="29"/>
      <c r="W155" s="79"/>
      <c r="X155" s="79"/>
      <c r="Y155" s="79"/>
    </row>
    <row r="156" spans="1:25" s="73" customFormat="1" ht="17.100000000000001" customHeight="1" x14ac:dyDescent="0.2">
      <c r="A156" s="61"/>
      <c r="B156" s="149"/>
      <c r="C156" s="149"/>
      <c r="D156" s="76"/>
      <c r="E156" s="76"/>
      <c r="F156" s="76"/>
      <c r="G156" s="76"/>
      <c r="H156" s="76"/>
      <c r="I156" s="76"/>
      <c r="J156" s="76"/>
      <c r="K156" s="76"/>
      <c r="L156" s="76"/>
      <c r="M156" s="76"/>
      <c r="N156" s="61"/>
      <c r="O156" s="29"/>
      <c r="P156" s="115"/>
      <c r="Q156" s="71"/>
      <c r="R156" s="29"/>
      <c r="S156" s="72"/>
      <c r="T156" s="71"/>
      <c r="U156" s="71"/>
      <c r="V156" s="71"/>
      <c r="W156" s="79"/>
      <c r="X156" s="79"/>
      <c r="Y156" s="79"/>
    </row>
    <row r="157" spans="1:25" s="61" customFormat="1" ht="17.100000000000001" customHeight="1" x14ac:dyDescent="0.2">
      <c r="A157" s="70"/>
      <c r="B157" s="150"/>
      <c r="C157" s="150"/>
      <c r="D157" s="75"/>
      <c r="E157" s="75"/>
      <c r="F157" s="75"/>
      <c r="G157" s="75"/>
      <c r="H157" s="75"/>
      <c r="I157" s="75"/>
      <c r="J157" s="75"/>
      <c r="K157" s="75"/>
      <c r="L157" s="75"/>
      <c r="M157" s="75"/>
      <c r="N157" s="75"/>
      <c r="O157" s="71"/>
      <c r="P157" s="115"/>
      <c r="Q157" s="29"/>
      <c r="R157" s="29"/>
      <c r="S157" s="62"/>
      <c r="T157" s="29"/>
      <c r="U157" s="29"/>
      <c r="V157" s="29"/>
      <c r="W157" s="79"/>
      <c r="X157" s="79"/>
      <c r="Y157" s="79"/>
    </row>
    <row r="158" spans="1:25" s="61" customFormat="1" ht="17.100000000000001" customHeight="1" x14ac:dyDescent="0.2">
      <c r="A158" s="69" t="s">
        <v>126</v>
      </c>
      <c r="B158" s="135">
        <v>1553</v>
      </c>
      <c r="C158" s="135">
        <v>1553</v>
      </c>
      <c r="D158" s="86">
        <v>1554</v>
      </c>
      <c r="E158" s="86">
        <v>1554</v>
      </c>
      <c r="F158" s="86">
        <v>1557</v>
      </c>
      <c r="G158" s="86">
        <v>1558</v>
      </c>
      <c r="H158" s="86">
        <v>1560</v>
      </c>
      <c r="I158" s="86">
        <v>1563</v>
      </c>
      <c r="J158" s="86">
        <v>1565</v>
      </c>
      <c r="K158" s="86">
        <v>1568</v>
      </c>
      <c r="L158" s="86">
        <v>1570</v>
      </c>
      <c r="M158" s="86">
        <v>1569</v>
      </c>
      <c r="N158" s="29"/>
      <c r="O158" s="29"/>
      <c r="P158" s="115"/>
      <c r="Q158" s="29"/>
      <c r="R158" s="29"/>
      <c r="S158" s="62"/>
      <c r="T158" s="29"/>
      <c r="U158" s="29"/>
      <c r="V158" s="29"/>
      <c r="W158" s="79"/>
      <c r="X158" s="79"/>
      <c r="Y158" s="79"/>
    </row>
    <row r="159" spans="1:25" s="61" customFormat="1" ht="17.100000000000001" customHeight="1" x14ac:dyDescent="0.2">
      <c r="A159" s="69" t="s">
        <v>147</v>
      </c>
      <c r="B159" s="135" t="e">
        <f>IF(B158=0, "",#REF!/ B158)</f>
        <v>#REF!</v>
      </c>
      <c r="C159" s="135" t="e">
        <f>IF(C158=0, "",#REF!/ C158)</f>
        <v>#REF!</v>
      </c>
      <c r="D159" s="29" t="e">
        <f>IF(D158=0, "",#REF!/ D158)</f>
        <v>#REF!</v>
      </c>
      <c r="E159" s="29" t="e">
        <f>IF(E158=0, "",#REF!/ E158)</f>
        <v>#REF!</v>
      </c>
      <c r="F159" s="29" t="e">
        <f>IF(F158=0, "",#REF!/ F158)</f>
        <v>#REF!</v>
      </c>
      <c r="G159" s="29" t="e">
        <f>IF(G158=0, "",#REF!/ G158)</f>
        <v>#REF!</v>
      </c>
      <c r="H159" s="29" t="e">
        <f>IF(H158=0, "",#REF!/ H158)</f>
        <v>#REF!</v>
      </c>
      <c r="I159" s="29" t="e">
        <f>IF(I158=0, "",#REF!/ I158)</f>
        <v>#REF!</v>
      </c>
      <c r="J159" s="29" t="e">
        <f>IF(J158=0, "",#REF!/ J158)</f>
        <v>#REF!</v>
      </c>
      <c r="K159" s="29" t="e">
        <f>IF(K158=0, "",#REF!/ K158)</f>
        <v>#REF!</v>
      </c>
      <c r="L159" s="29" t="e">
        <f>IF(L158=0, "",#REF!/ L158)</f>
        <v>#REF!</v>
      </c>
      <c r="M159" s="29" t="e">
        <f>IF(M158=0, "",#REF!/ M158)</f>
        <v>#REF!</v>
      </c>
      <c r="N159" s="29"/>
      <c r="O159" s="29"/>
      <c r="P159" s="115"/>
      <c r="Q159" s="29"/>
      <c r="R159" s="29"/>
      <c r="S159" s="62"/>
      <c r="T159" s="29"/>
      <c r="U159" s="29"/>
      <c r="V159" s="29"/>
      <c r="W159" s="79"/>
      <c r="X159" s="79"/>
      <c r="Y159" s="79"/>
    </row>
    <row r="160" spans="1:25" s="61" customFormat="1" ht="17.100000000000001" customHeight="1" x14ac:dyDescent="0.2">
      <c r="A160" s="69" t="s">
        <v>148</v>
      </c>
      <c r="B160" s="135" t="e">
        <f>IF(B$158=0, "",#REF!/ B158)</f>
        <v>#REF!</v>
      </c>
      <c r="C160" s="135" t="e">
        <f>IF(C$158=0, "",#REF!/ C158)</f>
        <v>#REF!</v>
      </c>
      <c r="D160" s="29" t="e">
        <f>IF(D$158=0, "",#REF!/ D158)</f>
        <v>#REF!</v>
      </c>
      <c r="E160" s="29" t="e">
        <f>IF(E$158=0, "",#REF!/ E158)</f>
        <v>#REF!</v>
      </c>
      <c r="F160" s="29" t="e">
        <f>IF(F$158=0, "",#REF!/ F158)</f>
        <v>#REF!</v>
      </c>
      <c r="G160" s="29" t="e">
        <f>IF(G$158=0, "",#REF!/ G158)</f>
        <v>#REF!</v>
      </c>
      <c r="H160" s="29" t="e">
        <f>IF(H$158=0, "",#REF!/ H158)</f>
        <v>#REF!</v>
      </c>
      <c r="I160" s="29" t="e">
        <f>IF(I$158=0, "",#REF!/ I158)</f>
        <v>#REF!</v>
      </c>
      <c r="J160" s="29" t="e">
        <f>IF(J$158=0, "",#REF!/ J158)</f>
        <v>#REF!</v>
      </c>
      <c r="K160" s="29" t="e">
        <f>IF(K$158=0, "",#REF!/ K158)</f>
        <v>#REF!</v>
      </c>
      <c r="L160" s="29" t="e">
        <f>IF(L$158=0, "",#REF!/ L158)</f>
        <v>#REF!</v>
      </c>
      <c r="M160" s="29" t="e">
        <f>IF(M$158=0, "",#REF!/ M158)</f>
        <v>#REF!</v>
      </c>
      <c r="N160" s="29"/>
      <c r="O160" s="29"/>
      <c r="P160" s="115"/>
      <c r="Q160" s="29"/>
      <c r="R160" s="29"/>
      <c r="S160" s="62"/>
      <c r="T160" s="29"/>
      <c r="U160" s="29"/>
      <c r="V160" s="29"/>
      <c r="W160" s="79"/>
      <c r="X160" s="79"/>
      <c r="Y160" s="79"/>
    </row>
    <row r="161" spans="1:26" s="61" customFormat="1" ht="17.100000000000001" customHeight="1" x14ac:dyDescent="0.2">
      <c r="A161" s="69"/>
      <c r="B161" s="135"/>
      <c r="C161" s="135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115"/>
      <c r="Q161" s="29"/>
      <c r="R161" s="29"/>
      <c r="S161" s="62"/>
      <c r="T161" s="29"/>
      <c r="U161" s="29"/>
      <c r="V161" s="29"/>
      <c r="W161" s="79"/>
      <c r="X161" s="79"/>
      <c r="Y161" s="79"/>
    </row>
    <row r="162" spans="1:26" s="61" customFormat="1" ht="17.100000000000001" customHeight="1" x14ac:dyDescent="0.2">
      <c r="A162" s="69"/>
      <c r="B162" s="149"/>
      <c r="C162" s="149"/>
      <c r="D162" s="76"/>
      <c r="E162" s="76"/>
      <c r="F162" s="76"/>
      <c r="G162" s="76"/>
      <c r="H162" s="76"/>
      <c r="I162" s="76"/>
      <c r="J162" s="76"/>
      <c r="K162" s="76"/>
      <c r="L162" s="76"/>
      <c r="M162" s="76"/>
      <c r="N162" s="47"/>
      <c r="O162" s="47"/>
      <c r="P162" s="116"/>
      <c r="Q162" s="47"/>
      <c r="R162" s="47"/>
      <c r="S162" s="47"/>
      <c r="T162" s="47"/>
      <c r="U162" s="47"/>
      <c r="V162" s="29"/>
      <c r="W162" s="29"/>
      <c r="X162" s="79"/>
      <c r="Y162" s="79"/>
      <c r="Z162" s="79"/>
    </row>
    <row r="163" spans="1:26" s="22" customFormat="1" ht="17.100000000000001" customHeight="1" x14ac:dyDescent="0.2">
      <c r="A163" s="69"/>
      <c r="B163" s="150"/>
      <c r="C163" s="150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124"/>
      <c r="Q163" s="50"/>
      <c r="R163" s="29"/>
      <c r="S163" s="86"/>
      <c r="T163" s="29"/>
      <c r="U163" s="29"/>
      <c r="V163" s="29"/>
      <c r="W163" s="29"/>
      <c r="X163" s="79"/>
      <c r="Y163" s="79"/>
      <c r="Z163" s="79"/>
    </row>
    <row r="164" spans="1:26" s="101" customFormat="1" ht="39.950000000000003" customHeight="1" x14ac:dyDescent="0.2">
      <c r="A164" s="14"/>
      <c r="B164" s="151" t="s">
        <v>114</v>
      </c>
      <c r="C164" s="151" t="s">
        <v>115</v>
      </c>
      <c r="D164" s="111" t="s">
        <v>116</v>
      </c>
      <c r="E164" s="111" t="s">
        <v>117</v>
      </c>
      <c r="F164" s="111" t="s">
        <v>118</v>
      </c>
      <c r="G164" s="111" t="s">
        <v>119</v>
      </c>
      <c r="H164" s="111" t="s">
        <v>120</v>
      </c>
      <c r="I164" s="111" t="s">
        <v>121</v>
      </c>
      <c r="J164" s="111" t="s">
        <v>122</v>
      </c>
      <c r="K164" s="111" t="s">
        <v>123</v>
      </c>
      <c r="L164" s="111" t="s">
        <v>124</v>
      </c>
      <c r="M164" s="111" t="s">
        <v>125</v>
      </c>
      <c r="N164" s="111" t="s">
        <v>127</v>
      </c>
      <c r="O164" s="114"/>
      <c r="P164" s="125"/>
      <c r="Q164" s="66"/>
      <c r="R164" s="76"/>
      <c r="S164" s="76"/>
      <c r="T164" s="76"/>
      <c r="U164" s="112"/>
      <c r="V164" s="14"/>
      <c r="W164" s="14"/>
      <c r="X164" s="113"/>
      <c r="Y164" s="113"/>
      <c r="Z164" s="113"/>
    </row>
    <row r="165" spans="1:26" s="22" customFormat="1" ht="17.100000000000001" customHeight="1" x14ac:dyDescent="0.2">
      <c r="A165" s="41" t="s">
        <v>128</v>
      </c>
      <c r="B165" s="150">
        <v>8.9610000000000003</v>
      </c>
      <c r="C165" s="150">
        <v>8.6720000000000006</v>
      </c>
      <c r="D165" s="85">
        <v>8.8800000000000008</v>
      </c>
      <c r="E165" s="85">
        <v>8.9860000000000007</v>
      </c>
      <c r="F165" s="85">
        <v>11.138999999999999</v>
      </c>
      <c r="G165" s="85">
        <v>18.774999999999999</v>
      </c>
      <c r="H165" s="85">
        <v>24.113</v>
      </c>
      <c r="I165" s="85">
        <v>22.088000000000001</v>
      </c>
      <c r="J165" s="85">
        <v>20.411999999999999</v>
      </c>
      <c r="K165" s="85">
        <v>18.518000000000001</v>
      </c>
      <c r="L165" s="85">
        <v>10.018000000000001</v>
      </c>
      <c r="M165" s="85">
        <v>9.8780000000000001</v>
      </c>
      <c r="N165" s="85">
        <f>SUM(B165:M165)</f>
        <v>170.44</v>
      </c>
      <c r="O165" s="85"/>
      <c r="P165" s="124"/>
      <c r="Q165" s="50"/>
      <c r="R165" s="29"/>
      <c r="S165" s="29"/>
      <c r="T165" s="62"/>
      <c r="U165" s="63"/>
      <c r="V165" s="21"/>
      <c r="W165" s="21"/>
      <c r="X165" s="79"/>
      <c r="Y165" s="79"/>
      <c r="Z165" s="79"/>
    </row>
    <row r="166" spans="1:26" s="27" customFormat="1" ht="17.100000000000001" customHeight="1" x14ac:dyDescent="0.2">
      <c r="A166" s="41" t="s">
        <v>129</v>
      </c>
      <c r="B166" s="150">
        <f>31*0.07 + 31*0.166</f>
        <v>7.3160000000000007</v>
      </c>
      <c r="C166" s="150">
        <f>29*0.07 + 29*0.148</f>
        <v>6.3220000000000001</v>
      </c>
      <c r="D166" s="82">
        <f>31*0.066 + 31*0.153</f>
        <v>6.7890000000000006</v>
      </c>
      <c r="E166" s="82">
        <f>30*0.068 + 30*0.162</f>
        <v>6.9</v>
      </c>
      <c r="F166" s="82">
        <f>31*0.076 + 31*0.162</f>
        <v>7.3780000000000001</v>
      </c>
      <c r="G166" s="82">
        <f>30*0.076 + 30*0.169</f>
        <v>7.35</v>
      </c>
      <c r="H166" s="82">
        <f>31*0.078 + 31*0.169</f>
        <v>7.6570000000000009</v>
      </c>
      <c r="I166" s="82">
        <f>31*0.074 + 31*0.158</f>
        <v>7.1920000000000002</v>
      </c>
      <c r="J166" s="82">
        <f>30*0.068 + 30*0.169</f>
        <v>7.11</v>
      </c>
      <c r="K166" s="82">
        <f>31*0.077 +31*0.169</f>
        <v>7.6260000000000012</v>
      </c>
      <c r="L166" s="82">
        <f>30*0.074 + 30*0.166</f>
        <v>7.2</v>
      </c>
      <c r="M166" s="82">
        <f>31*0.07 + 31*0.167</f>
        <v>7.3470000000000013</v>
      </c>
      <c r="N166" s="85">
        <f>SUM(B166:M166)</f>
        <v>86.187000000000012</v>
      </c>
      <c r="O166" s="88"/>
      <c r="P166" s="124"/>
      <c r="Q166" s="21"/>
      <c r="R166" s="29"/>
      <c r="S166" s="21"/>
      <c r="T166" s="14"/>
      <c r="V166" s="21"/>
      <c r="W166" s="21"/>
      <c r="X166" s="79"/>
      <c r="Y166" s="79"/>
      <c r="Z166" s="79"/>
    </row>
    <row r="167" spans="1:26" s="97" customFormat="1" ht="17.100000000000001" customHeight="1" x14ac:dyDescent="0.2">
      <c r="A167" s="92"/>
      <c r="B167" s="150"/>
      <c r="C167" s="150"/>
      <c r="D167" s="85"/>
      <c r="E167" s="85"/>
      <c r="F167" s="85"/>
      <c r="G167" s="85"/>
      <c r="H167" s="85"/>
      <c r="I167" s="85"/>
      <c r="J167" s="85"/>
      <c r="K167" s="85"/>
      <c r="L167" s="93"/>
      <c r="M167" s="93"/>
      <c r="N167" s="85"/>
      <c r="O167" s="94"/>
      <c r="P167" s="115"/>
      <c r="Q167" s="95"/>
      <c r="R167" s="29"/>
      <c r="S167" s="96"/>
      <c r="U167" s="95"/>
      <c r="V167" s="95"/>
      <c r="W167" s="95"/>
      <c r="X167" s="95"/>
      <c r="Y167" s="95"/>
    </row>
    <row r="168" spans="1:26" s="100" customFormat="1" ht="17.100000000000001" customHeight="1" x14ac:dyDescent="0.2">
      <c r="A168" s="99" t="s">
        <v>130</v>
      </c>
      <c r="B168" s="152">
        <f>4.912 + 0.037</f>
        <v>4.9489999999999998</v>
      </c>
      <c r="C168" s="152">
        <f>5.626 + 0.07</f>
        <v>5.6960000000000006</v>
      </c>
      <c r="D168" s="102">
        <f>4.238 + 0.059</f>
        <v>4.2970000000000006</v>
      </c>
      <c r="E168" s="102">
        <f>5.635 + 0.065</f>
        <v>5.7</v>
      </c>
      <c r="F168" s="102">
        <f>5.682 + 0.142</f>
        <v>5.8240000000000007</v>
      </c>
      <c r="G168" s="102">
        <f>11.267 + 0.014</f>
        <v>11.280999999999999</v>
      </c>
      <c r="H168" s="102">
        <f>11.859 + 0.42</f>
        <v>12.279</v>
      </c>
      <c r="I168" s="102">
        <f>16.472 + 0.202</f>
        <v>16.674000000000003</v>
      </c>
      <c r="J168" s="102">
        <f>10.243 + 0.227</f>
        <v>10.47</v>
      </c>
      <c r="K168" s="102">
        <f>13.176 + 0.016</f>
        <v>13.192</v>
      </c>
      <c r="L168" s="102">
        <f>6.784 + 0.056</f>
        <v>6.84</v>
      </c>
      <c r="M168" s="102">
        <f>5.339 + 0.056</f>
        <v>5.3950000000000005</v>
      </c>
      <c r="N168" s="85">
        <f>SUM(B168:M168)</f>
        <v>102.59699999999999</v>
      </c>
      <c r="O168" s="102"/>
      <c r="P168" s="119"/>
      <c r="Q168" s="99"/>
      <c r="R168" s="44"/>
      <c r="S168" s="98"/>
      <c r="U168" s="99"/>
      <c r="V168" s="99"/>
      <c r="W168" s="99"/>
      <c r="X168" s="99"/>
      <c r="Y168" s="99"/>
    </row>
    <row r="169" spans="1:26" s="91" customFormat="1" ht="17.100000000000001" customHeight="1" x14ac:dyDescent="0.2">
      <c r="A169" s="104" t="s">
        <v>131</v>
      </c>
      <c r="B169" s="150"/>
      <c r="C169" s="150"/>
      <c r="D169" s="85">
        <f>255200/1000000</f>
        <v>0.25519999999999998</v>
      </c>
      <c r="E169" s="85"/>
      <c r="F169" s="85">
        <f>4800/1000000</f>
        <v>4.7999999999999996E-3</v>
      </c>
      <c r="G169" s="85"/>
      <c r="H169" s="85">
        <f>3800/1000000</f>
        <v>3.8E-3</v>
      </c>
      <c r="I169" s="85">
        <f>17000/1000000</f>
        <v>1.7000000000000001E-2</v>
      </c>
      <c r="J169" s="85">
        <f>1000/1000000</f>
        <v>1E-3</v>
      </c>
      <c r="K169" s="85">
        <f>921550/1000000</f>
        <v>0.92154999999999998</v>
      </c>
      <c r="L169" s="85"/>
      <c r="M169" s="85"/>
      <c r="N169" s="85">
        <f>SUM(B169:M169)</f>
        <v>1.2033499999999999</v>
      </c>
      <c r="O169" s="88"/>
      <c r="P169" s="115"/>
      <c r="Q169" s="89"/>
      <c r="R169" s="29"/>
      <c r="S169" s="90"/>
      <c r="U169" s="89"/>
      <c r="V169" s="89"/>
      <c r="W169" s="89"/>
      <c r="X169" s="89"/>
      <c r="Y169" s="89"/>
    </row>
    <row r="170" spans="1:26" s="42" customFormat="1" ht="17.100000000000001" customHeight="1" x14ac:dyDescent="0.2">
      <c r="A170" s="49" t="s">
        <v>132</v>
      </c>
      <c r="B170" s="153">
        <v>0</v>
      </c>
      <c r="C170" s="153">
        <v>0</v>
      </c>
      <c r="D170" s="106">
        <f>43500/1000000</f>
        <v>4.3499999999999997E-2</v>
      </c>
      <c r="E170" s="106">
        <f>190500/1000000</f>
        <v>0.1905</v>
      </c>
      <c r="F170" s="106">
        <f>107500/1000000</f>
        <v>0.1075</v>
      </c>
      <c r="G170" s="106">
        <f>629500/1000000</f>
        <v>0.62949999999999995</v>
      </c>
      <c r="H170" s="106">
        <f>540000/1000000</f>
        <v>0.54</v>
      </c>
      <c r="I170" s="106">
        <f>846500/1000000</f>
        <v>0.84650000000000003</v>
      </c>
      <c r="J170" s="106">
        <f>510000/1000000</f>
        <v>0.51</v>
      </c>
      <c r="K170" s="106">
        <f>520500/1000000</f>
        <v>0.52049999999999996</v>
      </c>
      <c r="L170" s="107"/>
      <c r="M170" s="107"/>
      <c r="N170" s="106">
        <f>SUM(B170:M170)</f>
        <v>3.3879999999999999</v>
      </c>
      <c r="O170" s="105"/>
      <c r="P170" s="115"/>
      <c r="Q170" s="21"/>
      <c r="R170" s="29"/>
      <c r="S170" s="13"/>
      <c r="U170" s="21"/>
      <c r="V170" s="21"/>
      <c r="W170" s="79"/>
      <c r="X170" s="79"/>
      <c r="Y170" s="79"/>
    </row>
    <row r="171" spans="1:26" s="22" customFormat="1" ht="17.100000000000001" customHeight="1" x14ac:dyDescent="0.2">
      <c r="A171" s="41" t="s">
        <v>133</v>
      </c>
      <c r="B171" s="150">
        <f t="shared" ref="B171:N171" si="1">SUM(B168:B170)</f>
        <v>4.9489999999999998</v>
      </c>
      <c r="C171" s="150">
        <f t="shared" si="1"/>
        <v>5.6960000000000006</v>
      </c>
      <c r="D171" s="82">
        <f t="shared" si="1"/>
        <v>4.5957000000000008</v>
      </c>
      <c r="E171" s="82">
        <f t="shared" si="1"/>
        <v>5.8905000000000003</v>
      </c>
      <c r="F171" s="82">
        <f t="shared" si="1"/>
        <v>5.936300000000001</v>
      </c>
      <c r="G171" s="82">
        <f t="shared" si="1"/>
        <v>11.910499999999999</v>
      </c>
      <c r="H171" s="82">
        <f t="shared" si="1"/>
        <v>12.822800000000001</v>
      </c>
      <c r="I171" s="82">
        <f t="shared" si="1"/>
        <v>17.537500000000001</v>
      </c>
      <c r="J171" s="82">
        <f t="shared" si="1"/>
        <v>10.981</v>
      </c>
      <c r="K171" s="82">
        <f t="shared" si="1"/>
        <v>14.63405</v>
      </c>
      <c r="L171" s="105">
        <f t="shared" si="1"/>
        <v>6.84</v>
      </c>
      <c r="M171" s="105">
        <f t="shared" si="1"/>
        <v>5.3950000000000005</v>
      </c>
      <c r="N171" s="105">
        <f t="shared" si="1"/>
        <v>107.18835</v>
      </c>
      <c r="O171" s="105"/>
      <c r="P171" s="115"/>
      <c r="Q171" s="21"/>
      <c r="R171" s="29"/>
      <c r="S171" s="14"/>
      <c r="U171" s="21"/>
      <c r="V171" s="21"/>
      <c r="W171" s="79"/>
      <c r="X171" s="79"/>
      <c r="Y171" s="79"/>
    </row>
    <row r="172" spans="1:26" s="22" customFormat="1" ht="17.100000000000001" customHeight="1" x14ac:dyDescent="0.2">
      <c r="A172" s="103"/>
      <c r="B172" s="145"/>
      <c r="C172" s="145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115"/>
      <c r="Q172" s="21"/>
      <c r="R172" s="29"/>
      <c r="S172" s="14"/>
      <c r="U172" s="21"/>
      <c r="V172" s="21"/>
      <c r="W172" s="79"/>
      <c r="X172" s="79"/>
      <c r="Y172" s="79"/>
    </row>
    <row r="173" spans="1:26" s="95" customFormat="1" ht="17.100000000000001" customHeight="1" x14ac:dyDescent="0.2">
      <c r="A173" s="92" t="s">
        <v>135</v>
      </c>
      <c r="B173" s="135">
        <v>144.637</v>
      </c>
      <c r="C173" s="135">
        <v>142.11099999999999</v>
      </c>
      <c r="D173" s="95">
        <v>142.69</v>
      </c>
      <c r="E173" s="95">
        <v>143.03399999999999</v>
      </c>
      <c r="F173" s="95">
        <v>143.62700000000001</v>
      </c>
      <c r="G173" s="95">
        <v>149.69100000000009</v>
      </c>
      <c r="H173" s="95">
        <v>154.96300000000011</v>
      </c>
      <c r="I173" s="95">
        <v>160.04700000000011</v>
      </c>
      <c r="J173" s="95">
        <v>162.92699999999999</v>
      </c>
      <c r="K173" s="95">
        <v>168.60300000000001</v>
      </c>
      <c r="L173" s="95">
        <v>169.63</v>
      </c>
      <c r="M173" s="95">
        <v>170.44</v>
      </c>
      <c r="P173" s="115"/>
      <c r="S173" s="108"/>
    </row>
    <row r="174" spans="1:26" s="95" customFormat="1" ht="17.100000000000001" customHeight="1" x14ac:dyDescent="0.2">
      <c r="A174" s="92" t="s">
        <v>140</v>
      </c>
      <c r="B174" s="135">
        <v>99.181700000000006</v>
      </c>
      <c r="C174" s="135">
        <v>93.900499999999994</v>
      </c>
      <c r="D174" s="95">
        <v>93.718899999999991</v>
      </c>
      <c r="E174" s="95">
        <v>93.6614</v>
      </c>
      <c r="F174" s="95">
        <v>94.012500000000003</v>
      </c>
      <c r="G174" s="95">
        <v>97.270299999999992</v>
      </c>
      <c r="H174" s="95">
        <v>101.13160000000001</v>
      </c>
      <c r="I174" s="95">
        <v>102.9098</v>
      </c>
      <c r="J174" s="95">
        <v>104.41930000000001</v>
      </c>
      <c r="K174" s="95">
        <v>107.01235</v>
      </c>
      <c r="L174" s="95">
        <v>107.51134999999999</v>
      </c>
      <c r="M174" s="95">
        <v>107.18835</v>
      </c>
      <c r="P174" s="115"/>
      <c r="S174" s="108"/>
    </row>
    <row r="175" spans="1:26" s="84" customFormat="1" ht="17.100000000000001" customHeight="1" x14ac:dyDescent="0.2">
      <c r="A175" s="109" t="s">
        <v>136</v>
      </c>
      <c r="B175" s="135">
        <f>(B173-B174)/B173</f>
        <v>0.31427159025698814</v>
      </c>
      <c r="C175" s="135">
        <f t="shared" ref="C175:M175" si="2">IF(C165="","",(C173-C174)/C173)</f>
        <v>0.33924537861249304</v>
      </c>
      <c r="D175" s="84">
        <f t="shared" si="2"/>
        <v>0.34319924311444394</v>
      </c>
      <c r="E175" s="84">
        <f t="shared" si="2"/>
        <v>0.34518086608778331</v>
      </c>
      <c r="F175" s="84">
        <f t="shared" si="2"/>
        <v>0.34543992424822634</v>
      </c>
      <c r="G175" s="84">
        <f t="shared" si="2"/>
        <v>0.35019273035787096</v>
      </c>
      <c r="H175" s="84">
        <f t="shared" si="2"/>
        <v>0.34738227835031632</v>
      </c>
      <c r="I175" s="84">
        <f t="shared" si="2"/>
        <v>0.35700263047729769</v>
      </c>
      <c r="J175" s="84">
        <f t="shared" si="2"/>
        <v>0.35910377040024055</v>
      </c>
      <c r="K175" s="84">
        <f t="shared" si="2"/>
        <v>0.36529984638470259</v>
      </c>
      <c r="L175" s="84">
        <f t="shared" si="2"/>
        <v>0.36620084890644344</v>
      </c>
      <c r="M175" s="84">
        <f t="shared" si="2"/>
        <v>0.37110801455057496</v>
      </c>
      <c r="P175" s="115"/>
      <c r="S175" s="110"/>
    </row>
    <row r="176" spans="1:26" s="95" customFormat="1" ht="17.100000000000001" customHeight="1" x14ac:dyDescent="0.2">
      <c r="A176" s="92" t="s">
        <v>137</v>
      </c>
      <c r="B176" s="135">
        <f>B173-B174</f>
        <v>45.455299999999994</v>
      </c>
      <c r="C176" s="135">
        <f t="shared" ref="C176:M176" si="3">IF(C165="","",C173-C174)</f>
        <v>48.210499999999996</v>
      </c>
      <c r="D176" s="95">
        <f t="shared" si="3"/>
        <v>48.971100000000007</v>
      </c>
      <c r="E176" s="95">
        <f t="shared" si="3"/>
        <v>49.372599999999991</v>
      </c>
      <c r="F176" s="95">
        <f t="shared" si="3"/>
        <v>49.614500000000007</v>
      </c>
      <c r="G176" s="95">
        <f t="shared" si="3"/>
        <v>52.420700000000096</v>
      </c>
      <c r="H176" s="95">
        <f t="shared" si="3"/>
        <v>53.831400000000102</v>
      </c>
      <c r="I176" s="95">
        <f t="shared" si="3"/>
        <v>57.137200000000107</v>
      </c>
      <c r="J176" s="95">
        <f t="shared" si="3"/>
        <v>58.507699999999986</v>
      </c>
      <c r="K176" s="95">
        <f t="shared" si="3"/>
        <v>61.590650000000011</v>
      </c>
      <c r="L176" s="95">
        <f t="shared" si="3"/>
        <v>62.118650000000002</v>
      </c>
      <c r="M176" s="95">
        <f t="shared" si="3"/>
        <v>63.251649999999998</v>
      </c>
      <c r="P176" s="115"/>
      <c r="S176" s="108"/>
    </row>
    <row r="177" spans="1:25" s="95" customFormat="1" ht="17.100000000000001" customHeight="1" x14ac:dyDescent="0.2">
      <c r="A177" s="92" t="s">
        <v>134</v>
      </c>
      <c r="B177" s="135"/>
      <c r="C177" s="135"/>
      <c r="D177" s="95">
        <v>1.447E-2</v>
      </c>
      <c r="J177" s="95">
        <f>(150000+100000)/1000000</f>
        <v>0.25</v>
      </c>
      <c r="K177" s="95">
        <f>20000/1000000</f>
        <v>0.02</v>
      </c>
      <c r="P177" s="115"/>
      <c r="S177" s="108"/>
    </row>
    <row r="178" spans="1:25" s="95" customFormat="1" ht="17.100000000000001" customHeight="1" x14ac:dyDescent="0.2">
      <c r="A178" s="92" t="s">
        <v>141</v>
      </c>
      <c r="B178" s="135">
        <v>0.25900000000000001</v>
      </c>
      <c r="C178" s="135">
        <v>0.25900000000000001</v>
      </c>
      <c r="D178" s="95">
        <v>0.25900000000000001</v>
      </c>
      <c r="E178" s="95">
        <v>0.25900000000000001</v>
      </c>
      <c r="F178" s="95">
        <v>0.25900000000000001</v>
      </c>
      <c r="G178" s="95">
        <v>0.25900000000000001</v>
      </c>
      <c r="H178" s="95">
        <v>0.25900000000000001</v>
      </c>
      <c r="I178" s="95">
        <v>0.25900000000000001</v>
      </c>
      <c r="J178" s="95">
        <v>0.25900000000000001</v>
      </c>
      <c r="K178" s="95">
        <v>0.25900000000000001</v>
      </c>
      <c r="L178" s="95">
        <v>0.25900000000000001</v>
      </c>
      <c r="M178" s="95">
        <v>0.25900000000000001</v>
      </c>
      <c r="P178" s="115"/>
      <c r="S178" s="108"/>
    </row>
    <row r="179" spans="1:25" s="22" customFormat="1" ht="17.100000000000001" customHeight="1" x14ac:dyDescent="0.2">
      <c r="A179" s="15" t="s">
        <v>142</v>
      </c>
      <c r="B179" s="135">
        <v>5.2080000000000002</v>
      </c>
      <c r="C179" s="135">
        <v>5.955000000000001</v>
      </c>
      <c r="D179" s="21">
        <v>4.8691700000000013</v>
      </c>
      <c r="E179" s="21">
        <v>6.1495000000000006</v>
      </c>
      <c r="F179" s="21">
        <v>6.1953000000000014</v>
      </c>
      <c r="G179" s="21">
        <v>12.169499999999999</v>
      </c>
      <c r="H179" s="21">
        <v>13.081799999999999</v>
      </c>
      <c r="I179" s="21">
        <v>17.796500000000002</v>
      </c>
      <c r="J179" s="21">
        <v>11.49</v>
      </c>
      <c r="K179" s="21">
        <v>14.91305</v>
      </c>
      <c r="L179" s="21">
        <v>7.0990000000000002</v>
      </c>
      <c r="M179" s="21">
        <v>5.6540000000000008</v>
      </c>
      <c r="N179" s="21"/>
      <c r="O179" s="21"/>
      <c r="P179" s="115"/>
      <c r="Q179" s="21"/>
      <c r="R179" s="29"/>
      <c r="S179" s="14"/>
      <c r="T179" s="46"/>
      <c r="U179" s="21"/>
      <c r="V179" s="21"/>
      <c r="W179" s="79"/>
      <c r="X179" s="79"/>
      <c r="Y179" s="79"/>
    </row>
    <row r="180" spans="1:25" s="22" customFormat="1" ht="17.100000000000001" customHeight="1" x14ac:dyDescent="0.2">
      <c r="A180" s="46"/>
      <c r="B180" s="154"/>
      <c r="C180" s="154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115"/>
      <c r="Q180" s="21"/>
      <c r="R180" s="29"/>
      <c r="S180" s="14"/>
      <c r="T180" s="46"/>
      <c r="U180" s="21"/>
      <c r="V180" s="21"/>
      <c r="W180" s="79"/>
      <c r="X180" s="79"/>
      <c r="Y180" s="79"/>
    </row>
    <row r="181" spans="1:25" s="22" customFormat="1" ht="17.100000000000001" customHeight="1" x14ac:dyDescent="0.2">
      <c r="A181" s="46"/>
      <c r="B181" s="154"/>
      <c r="C181" s="154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115"/>
      <c r="Q181" s="21"/>
      <c r="R181" s="29"/>
      <c r="S181" s="14"/>
      <c r="T181" s="46"/>
      <c r="U181" s="21"/>
      <c r="V181" s="21"/>
      <c r="W181" s="79"/>
      <c r="X181" s="79"/>
      <c r="Y181" s="79"/>
    </row>
    <row r="182" spans="1:25" s="22" customFormat="1" ht="17.100000000000001" customHeight="1" x14ac:dyDescent="0.2">
      <c r="A182" s="46"/>
      <c r="B182" s="154"/>
      <c r="C182" s="154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115"/>
      <c r="Q182" s="21"/>
      <c r="R182" s="29"/>
      <c r="S182" s="14"/>
      <c r="T182" s="46"/>
      <c r="U182" s="21"/>
      <c r="V182" s="21"/>
      <c r="W182" s="79"/>
      <c r="X182" s="79"/>
      <c r="Y182" s="79"/>
    </row>
    <row r="184" spans="1:25" x14ac:dyDescent="0.2">
      <c r="P184" s="126" t="s">
        <v>143</v>
      </c>
    </row>
  </sheetData>
  <mergeCells count="1">
    <mergeCell ref="F1:I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PPWSD 2024 Revenue &amp; Expenses</vt:lpstr>
      <vt:lpstr>Audit 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PLAN FOR MEETINGS</dc:subject>
  <dc:creator>Diana Miller</dc:creator>
  <cp:lastModifiedBy>Tony Lucas</cp:lastModifiedBy>
  <cp:lastPrinted>2025-07-11T22:53:07Z</cp:lastPrinted>
  <dcterms:created xsi:type="dcterms:W3CDTF">2021-07-23T14:32:14Z</dcterms:created>
  <dcterms:modified xsi:type="dcterms:W3CDTF">2025-11-08T17:57:12Z</dcterms:modified>
</cp:coreProperties>
</file>